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Data\IdeaBox\GPTechies\sa-worksheet\"/>
    </mc:Choice>
  </mc:AlternateContent>
  <xr:revisionPtr revIDLastSave="0" documentId="13_ncr:1_{3F09B0ED-699F-4164-87C0-E7F2535B1864}" xr6:coauthVersionLast="47" xr6:coauthVersionMax="47" xr10:uidLastSave="{00000000-0000-0000-0000-000000000000}"/>
  <bookViews>
    <workbookView xWindow="28680" yWindow="-120" windowWidth="38640" windowHeight="21120" xr2:uid="{00000000-000D-0000-FFFF-FFFF00000000}"/>
  </bookViews>
  <sheets>
    <sheet name="README" sheetId="1" r:id="rId1"/>
    <sheet name="Settings" sheetId="2" r:id="rId2"/>
    <sheet name="1 Discovery" sheetId="3" r:id="rId3"/>
    <sheet name="2 Sizing" sheetId="4" r:id="rId4"/>
    <sheet name="3 BOM" sheetId="5" r:id="rId5"/>
    <sheet name="4 TCO" sheetId="6" r:id="rId6"/>
    <sheet name="5 Decision" sheetId="7" r:id="rId7"/>
    <sheet name="Model library" sheetId="8" r:id="rId8"/>
    <sheet name="GPU library"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9" l="1"/>
  <c r="F16" i="8"/>
  <c r="F15" i="8"/>
  <c r="F14" i="8"/>
  <c r="F13" i="8"/>
  <c r="F12" i="8"/>
  <c r="F11" i="8"/>
  <c r="F10" i="8"/>
  <c r="F9" i="8"/>
  <c r="F8" i="8"/>
  <c r="F7" i="8"/>
  <c r="F6" i="8"/>
  <c r="F5" i="8"/>
  <c r="C27" i="7"/>
  <c r="C10" i="7"/>
  <c r="C11" i="7" s="1"/>
  <c r="B20" i="6"/>
  <c r="D6" i="6"/>
  <c r="C6" i="6"/>
  <c r="B5" i="6"/>
  <c r="B25" i="5"/>
  <c r="G24" i="5"/>
  <c r="B24" i="5"/>
  <c r="G23" i="5"/>
  <c r="B23" i="5"/>
  <c r="G22" i="5"/>
  <c r="B22" i="5"/>
  <c r="G16" i="5"/>
  <c r="F16" i="5"/>
  <c r="E16" i="5"/>
  <c r="B13" i="5"/>
  <c r="G4" i="5"/>
  <c r="F4" i="5"/>
  <c r="E4" i="5"/>
  <c r="B113" i="4"/>
  <c r="A113" i="4"/>
  <c r="B112" i="4"/>
  <c r="A112" i="4"/>
  <c r="B111" i="4"/>
  <c r="A111" i="4"/>
  <c r="B110" i="4"/>
  <c r="A110" i="4"/>
  <c r="B109" i="4"/>
  <c r="A109" i="4"/>
  <c r="B108" i="4"/>
  <c r="A108" i="4"/>
  <c r="B107" i="4"/>
  <c r="A107" i="4"/>
  <c r="B106" i="4"/>
  <c r="A106" i="4"/>
  <c r="B105" i="4"/>
  <c r="A105" i="4"/>
  <c r="B104" i="4"/>
  <c r="A104" i="4"/>
  <c r="G103" i="4"/>
  <c r="B96" i="4"/>
  <c r="B95" i="4"/>
  <c r="B87" i="4"/>
  <c r="B85" i="4"/>
  <c r="B86" i="4" s="1"/>
  <c r="A42" i="4"/>
  <c r="B41" i="4"/>
  <c r="B40" i="4"/>
  <c r="B39" i="4"/>
  <c r="B14" i="4"/>
  <c r="B13" i="4"/>
  <c r="B38" i="4" s="1"/>
  <c r="B12" i="4"/>
  <c r="B37" i="4" s="1"/>
  <c r="B11" i="4"/>
  <c r="B10" i="4"/>
  <c r="B9" i="4"/>
  <c r="B8" i="4"/>
  <c r="B55" i="4" s="1"/>
  <c r="B7" i="4"/>
  <c r="B89" i="4" s="1"/>
  <c r="B6" i="4"/>
  <c r="B74" i="4" s="1"/>
  <c r="B75" i="4" s="1"/>
  <c r="B78" i="4" s="1"/>
  <c r="B5" i="4"/>
  <c r="B6" i="2"/>
  <c r="E15" i="9" s="1"/>
  <c r="B5" i="2"/>
  <c r="G25" i="5" l="1"/>
  <c r="B19" i="6" s="1"/>
  <c r="F18" i="5"/>
  <c r="F10" i="5"/>
  <c r="G10" i="5" s="1"/>
  <c r="E9" i="9"/>
  <c r="D7" i="6"/>
  <c r="E10" i="9"/>
  <c r="E8" i="9"/>
  <c r="B34" i="4"/>
  <c r="B50" i="4" s="1"/>
  <c r="B90" i="4" s="1"/>
  <c r="B35" i="4"/>
  <c r="F7" i="5"/>
  <c r="G7" i="5" s="1"/>
  <c r="F11" i="5"/>
  <c r="G11" i="5" s="1"/>
  <c r="F19" i="5"/>
  <c r="D8" i="6"/>
  <c r="E11" i="9"/>
  <c r="B36" i="4"/>
  <c r="B45" i="4"/>
  <c r="D9" i="6"/>
  <c r="E12" i="9"/>
  <c r="E5" i="9"/>
  <c r="B42" i="4" s="1"/>
  <c r="E13" i="9"/>
  <c r="F9" i="5"/>
  <c r="G9" i="5" s="1"/>
  <c r="F5" i="5"/>
  <c r="F8" i="5"/>
  <c r="G8" i="5" s="1"/>
  <c r="F12" i="5"/>
  <c r="G12" i="5" s="1"/>
  <c r="F17" i="5"/>
  <c r="F20" i="5"/>
  <c r="G20" i="5" s="1"/>
  <c r="E6" i="9"/>
  <c r="E14" i="9"/>
  <c r="E7" i="9"/>
  <c r="F6" i="5" l="1"/>
  <c r="D6" i="5"/>
  <c r="B54" i="4"/>
  <c r="B27" i="6"/>
  <c r="B21" i="6"/>
  <c r="B47" i="4"/>
  <c r="B46" i="4"/>
  <c r="B25" i="6" s="1"/>
  <c r="B26" i="6" s="1"/>
  <c r="B88" i="4"/>
  <c r="B91" i="4" s="1"/>
  <c r="B51" i="4"/>
  <c r="B28" i="6" l="1"/>
  <c r="B29" i="6"/>
  <c r="B57" i="4"/>
  <c r="B56" i="4"/>
  <c r="B59" i="4" l="1"/>
  <c r="B63" i="4" s="1"/>
  <c r="B58" i="4"/>
  <c r="B62" i="4" s="1"/>
  <c r="C113" i="4" l="1"/>
  <c r="D113" i="4" s="1"/>
  <c r="C112" i="4"/>
  <c r="D112" i="4" s="1"/>
  <c r="C111" i="4"/>
  <c r="D111" i="4" s="1"/>
  <c r="C110" i="4"/>
  <c r="D110" i="4" s="1"/>
  <c r="C109" i="4"/>
  <c r="D109" i="4" s="1"/>
  <c r="C108" i="4"/>
  <c r="D108" i="4" s="1"/>
  <c r="C107" i="4"/>
  <c r="D107" i="4" s="1"/>
  <c r="C106" i="4"/>
  <c r="D106" i="4" s="1"/>
  <c r="C105" i="4"/>
  <c r="D105" i="4" s="1"/>
  <c r="C104" i="4"/>
  <c r="D104" i="4" s="1"/>
  <c r="B64" i="4"/>
  <c r="H108" i="4" l="1"/>
  <c r="G108" i="4"/>
  <c r="E108" i="4"/>
  <c r="F108" i="4" s="1"/>
  <c r="H111" i="4"/>
  <c r="G111" i="4"/>
  <c r="E111" i="4"/>
  <c r="F111" i="4" s="1"/>
  <c r="H106" i="4"/>
  <c r="G106" i="4"/>
  <c r="E106" i="4"/>
  <c r="F106" i="4" s="1"/>
  <c r="H109" i="4"/>
  <c r="G109" i="4"/>
  <c r="E109" i="4"/>
  <c r="F109" i="4" s="1"/>
  <c r="H112" i="4"/>
  <c r="G112" i="4"/>
  <c r="E112" i="4"/>
  <c r="F112" i="4" s="1"/>
  <c r="G107" i="4"/>
  <c r="H107" i="4"/>
  <c r="E107" i="4"/>
  <c r="F107" i="4" s="1"/>
  <c r="G110" i="4"/>
  <c r="H110" i="4"/>
  <c r="E110" i="4"/>
  <c r="F110" i="4" s="1"/>
  <c r="B66" i="4"/>
  <c r="B65" i="4"/>
  <c r="H104" i="4"/>
  <c r="G104" i="4"/>
  <c r="E104" i="4"/>
  <c r="F104" i="4" s="1"/>
  <c r="H105" i="4"/>
  <c r="G105" i="4"/>
  <c r="E105" i="4"/>
  <c r="F105" i="4" s="1"/>
  <c r="H113" i="4"/>
  <c r="G113" i="4"/>
  <c r="E113" i="4"/>
  <c r="F113" i="4" s="1"/>
  <c r="B79" i="4" l="1"/>
  <c r="B67" i="4"/>
  <c r="B68" i="4" s="1"/>
  <c r="B76" i="4"/>
  <c r="B77" i="4" s="1"/>
  <c r="B97" i="4"/>
  <c r="B94" i="4"/>
  <c r="B69" i="4" l="1"/>
  <c r="B71" i="4" s="1"/>
  <c r="B70" i="4"/>
  <c r="B82" i="4"/>
  <c r="B80" i="4"/>
  <c r="B81" i="4" s="1"/>
  <c r="C5" i="5" l="1"/>
  <c r="G5" i="5" s="1"/>
  <c r="C19" i="5"/>
  <c r="G19" i="5" s="1"/>
  <c r="C18" i="5"/>
  <c r="G18" i="5" s="1"/>
  <c r="B100" i="4"/>
  <c r="C17" i="5"/>
  <c r="G17" i="5" s="1"/>
  <c r="C6" i="5"/>
  <c r="G6" i="5" s="1"/>
  <c r="B98" i="4"/>
  <c r="B99" i="4" s="1"/>
  <c r="B18" i="6" s="1"/>
  <c r="G13" i="5" l="1"/>
  <c r="B17" i="6" s="1"/>
  <c r="B22" i="6" s="1"/>
  <c r="B33" i="6" l="1"/>
  <c r="B34" i="6" s="1"/>
  <c r="B35" i="6" s="1"/>
  <c r="B32" i="6"/>
  <c r="B36" i="6" s="1"/>
</calcChain>
</file>

<file path=xl/sharedStrings.xml><?xml version="1.0" encoding="utf-8"?>
<sst xmlns="http://schemas.openxmlformats.org/spreadsheetml/2006/main" count="522" uniqueCount="459">
  <si>
    <t>LLM Platform - Solution Architect Worksheet</t>
  </si>
  <si>
    <t>Discovery -&gt; Sizing -&gt; BOM -&gt; 3-year TCO -&gt; Decision, for a self-hosted or API-based LLM / RAG application. Companion to the blog post "I run a 70B model for free and own no GPU" and the Enterprise AI Stack Builder at drpranayjha.com/tools/ai-stack-builder/.</t>
  </si>
  <si>
    <t>How to use it in a customer meeting</t>
  </si>
  <si>
    <t>0. Open "Settings" and pick the working currency (and refresh the FX rates if they matter). Every price in the workbook follows it.</t>
  </si>
  <si>
    <t>1. Open "1 Discovery" and fill the yellow cells while talking. Every question says why it matters and which calculation it drives. Type the customer's words in the Notes column; the numbers go in the Answer column.</t>
  </si>
  <si>
    <t>2. Open "2 Sizing". Pick the model and the GPU card from the drop-downs. Everything else recalculates: weight memory, KV cache, VRAM needed, GPU count, concurrency the design can hold, storage, RAM, power.</t>
  </si>
  <si>
    <t>3. Look at the GPU comparison table at the bottom of "2 Sizing" to show the customer the alternatives side by side.</t>
  </si>
  <si>
    <t>4. "3 BOM" lists the hardware and software lines with indicative prices (yellow = replace with real quotes).</t>
  </si>
  <si>
    <t>5. "4 TCO" compares three years of self-hosting with three years of the API and shows the break-even in tokens per day.</t>
  </si>
  <si>
    <t>6. "5 Decision" is the five-question self-host test plus the pre-purchase-order checklist. Take the customer through it before anyone signs anything.</t>
  </si>
  <si>
    <t>Colour legend</t>
  </si>
  <si>
    <t>Blue text on yellow = input you type or choose.   Black = formula, do not edit.   Green = value pulled from another sheet.   Red-tinted rows = the key results to read out.</t>
  </si>
  <si>
    <t>Currency</t>
  </si>
  <si>
    <t>Pick the working currency on the "Settings" tab (INR, USD, EUR, GBP, SGD, AED, AUD, SAR, CAD, JPY). Indicative prices are stored in INR and converted with the FX table there; edit the rates to today's. Wherever you have a real quote, type it in the "Your quote" column in the chosen currency and it overrides the converted indicative figure. All totals, the TCO and the proposal sentence follow the chosen currency.</t>
  </si>
  <si>
    <t>Reference tabs</t>
  </si>
  <si>
    <t>"Model library" and "GPU library" hold the architecture facts and card specs the formulas look up. Add rows there for new models or cards; verify layers / KV heads / head dim against the model card on Hugging Face before trusting a new row.</t>
  </si>
  <si>
    <t>Method in one line</t>
  </si>
  <si>
    <t>model -&gt; precision -&gt; weight memory -&gt; KV cache (context x concurrency) -&gt; VRAM needed -&gt; GPU type and count -&gt; measured throughput -&gt; N+1 -&gt; BOM -&gt; 3-year TCO vs API -&gt; decision.</t>
  </si>
  <si>
    <t>What this sheet does NOT do</t>
  </si>
  <si>
    <t>It does not measure throughput. Tokens per second depend on model, precision, batch and engine and change every quarter. Rent the exact card for an hour and run "vllm bench serve" with the customer's token profile; enter the measured number in "2 Sizing".</t>
  </si>
  <si>
    <t>It does not price licences. Prices are indicative list figures for shape only; every yellow price cell must be replaced by a quote.</t>
  </si>
  <si>
    <t>Sources and assumptions</t>
  </si>
  <si>
    <t>KV-cache formula: 2 x layers x KV heads x head dim x bytes per value (standard transformer KV cache). Model architecture numbers from each model's Hugging Face config.json. GPU VRAM and TDP from NVIDIA / AMD published specifications. Indicative rupee prices and the API price per million tokens were supplied by the author from public list prices in September 2026 and must be refreshed.</t>
  </si>
  <si>
    <t>Settings</t>
  </si>
  <si>
    <t>Choose the working currency. Indicative prices in the libraries and BOM are stored in INR and converted with the table below. Edit the rates to today's values before a customer meeting.</t>
  </si>
  <si>
    <t>Working currency</t>
  </si>
  <si>
    <t>INR</t>
  </si>
  <si>
    <t>Drop-down. Every money figure in the workbook follows this.</t>
  </si>
  <si>
    <t>Currency symbol</t>
  </si>
  <si>
    <t>FX factor applied to INR indicative prices</t>
  </si>
  <si>
    <t>Units of working currency per 1 INR. Shows 1.00000 when INR is selected.</t>
  </si>
  <si>
    <t>FX table (units per 1 USD)</t>
  </si>
  <si>
    <t>Code</t>
  </si>
  <si>
    <t>Units per 1 USD</t>
  </si>
  <si>
    <t>Symbol</t>
  </si>
  <si>
    <t>Note</t>
  </si>
  <si>
    <t>₹</t>
  </si>
  <si>
    <t>Indian rupee</t>
  </si>
  <si>
    <t>Base currency of the stored indicative prices.</t>
  </si>
  <si>
    <t>USD</t>
  </si>
  <si>
    <t>$</t>
  </si>
  <si>
    <t>US dollar</t>
  </si>
  <si>
    <t>EUR</t>
  </si>
  <si>
    <t>€</t>
  </si>
  <si>
    <t>Euro</t>
  </si>
  <si>
    <t>GBP</t>
  </si>
  <si>
    <t>£</t>
  </si>
  <si>
    <t>British pound</t>
  </si>
  <si>
    <t>SGD</t>
  </si>
  <si>
    <t>S$</t>
  </si>
  <si>
    <t>Singapore dollar</t>
  </si>
  <si>
    <t>AED</t>
  </si>
  <si>
    <t>UAE dirham</t>
  </si>
  <si>
    <t>Pegged to USD.</t>
  </si>
  <si>
    <t>SAR</t>
  </si>
  <si>
    <t>Saudi riyal</t>
  </si>
  <si>
    <t>AUD</t>
  </si>
  <si>
    <t>A$</t>
  </si>
  <si>
    <t>Australian dollar</t>
  </si>
  <si>
    <t>CAD</t>
  </si>
  <si>
    <t>C$</t>
  </si>
  <si>
    <t>Canadian dollar</t>
  </si>
  <si>
    <t>JPY</t>
  </si>
  <si>
    <t>¥</t>
  </si>
  <si>
    <t>Japanese yen</t>
  </si>
  <si>
    <t>Rates are indicative (September 2026) and exist so the sheet converts; replace them with the rate your finance team uses. Add a row for any other currency and it appears in the drop-down.</t>
  </si>
  <si>
    <t>1 · Discovery: what to ask the customer</t>
  </si>
  <si>
    <t>Fill the yellow cells during the conversation. Numeric answers feed "2 Sizing" directly. Pre-filled with the worked example from the blog (a 50-person training organisation); overwrite everything.</t>
  </si>
  <si>
    <t>#</t>
  </si>
  <si>
    <t>Question</t>
  </si>
  <si>
    <t>Why it matters</t>
  </si>
  <si>
    <t>Answer</t>
  </si>
  <si>
    <t>Customer notes / evidence</t>
  </si>
  <si>
    <t>Drives</t>
  </si>
  <si>
    <t>How many people will use the application?</t>
  </si>
  <si>
    <t>Licence counts, identity design, and a sanity check on concurrency.</t>
  </si>
  <si>
    <t>Sizing: context</t>
  </si>
  <si>
    <t>How many will be mid-question at the same moment at peak?</t>
  </si>
  <si>
    <t>Drives the KV cache, which usually decides the GPU count. Rule of thumb: 30-40% of users at peak for a team tool, 5-10% for an occasional tool.</t>
  </si>
  <si>
    <t>Sizing step 3, 4, 5</t>
  </si>
  <si>
    <t>Peak queries per hour?</t>
  </si>
  <si>
    <t>Throughput target.</t>
  </si>
  <si>
    <t>Sizing step 5</t>
  </si>
  <si>
    <t>Queries per day (average)?</t>
  </si>
  <si>
    <t>Token volume, therefore the API cost yardstick.</t>
  </si>
  <si>
    <t>Sizing step 1, TCO</t>
  </si>
  <si>
    <t>Input tokens per query (system prompt + retrieved chunks + question)?</t>
  </si>
  <si>
    <t>RAG prompts are long: 6 chunks x 400 tokens + prompt is ~3,000. Ask how many chunks they retrieve.</t>
  </si>
  <si>
    <t>Sizing step 1, 3</t>
  </si>
  <si>
    <t>Output tokens per query?</t>
  </si>
  <si>
    <t>A paragraph is ~150; a one-page answer ~500; a lab guide ~2,000.</t>
  </si>
  <si>
    <t>Sizing step 1, 5</t>
  </si>
  <si>
    <t>Longest context that must work (tokens)?</t>
  </si>
  <si>
    <t>A 40-page manual pasted in is ~30,000 tokens. This sets the worst-case KV cache per conversation.</t>
  </si>
  <si>
    <t>Sizing step 3</t>
  </si>
  <si>
    <t>Acceptable time to a complete answer (seconds)?</t>
  </si>
  <si>
    <t>Throughput target = concurrent x output tokens / this number.</t>
  </si>
  <si>
    <t>Which model family / size have they validated on the API?</t>
  </si>
  <si>
    <t>Never size before a quality trial. The model choice moves the bill more than anything else.</t>
  </si>
  <si>
    <t>Llama-3.3-70B-Instruct</t>
  </si>
  <si>
    <t>Sizing step 2</t>
  </si>
  <si>
    <t>Acceptable precision?</t>
  </si>
  <si>
    <t>INT4 is the norm for self-hosting; FP16 only if they insist on "no quantization".</t>
  </si>
  <si>
    <t>INT4</t>
  </si>
  <si>
    <t>Data classification: may documents and prompts leave the network?</t>
  </si>
  <si>
    <t>The single input that justifies self-hosting. Get the policy or contract clause, not an opinion.</t>
  </si>
  <si>
    <t>No - client manuals under NDA</t>
  </si>
  <si>
    <t>Decision</t>
  </si>
  <si>
    <t>Is downtime for patching acceptable (maintenance window)?</t>
  </si>
  <si>
    <t>Decides N+1. Doubles the hardware.</t>
  </si>
  <si>
    <t>Yes - weekend window</t>
  </si>
  <si>
    <t>Sizing step 8, BOM</t>
  </si>
  <si>
    <t>Must it work offline / air-gapped?</t>
  </si>
  <si>
    <t>Rules out every API and most SaaS layers.</t>
  </si>
  <si>
    <t>No</t>
  </si>
  <si>
    <t>How many documents in the corpus?</t>
  </si>
  <si>
    <t>Vector DB and storage sizing.</t>
  </si>
  <si>
    <t>Sizing step 6</t>
  </si>
  <si>
    <t>Average pages per document?</t>
  </si>
  <si>
    <t>Chunk count = pages x ~2.</t>
  </si>
  <si>
    <t>Expected growth in users / tokens at 12 and 36 months (multiplier)?</t>
  </si>
  <si>
    <t>Size for month 36 or plan the second server now.</t>
  </si>
  <si>
    <t>Sizing headroom</t>
  </si>
  <si>
    <t>Do they already run Kubernetes? Which distribution?</t>
  </si>
  <si>
    <t>Reuse the platform team and tooling; otherwise docker compose is honest for one server.</t>
  </si>
  <si>
    <t>No - vSphere shop</t>
  </si>
  <si>
    <t>Design</t>
  </si>
  <si>
    <t>Corporate identity provider?</t>
  </si>
  <si>
    <t>OIDC for the app and kubectl.</t>
  </si>
  <si>
    <t>Entra ID</t>
  </si>
  <si>
    <t>Any existing GPUs (VDI, HPC, cloud)?</t>
  </si>
  <si>
    <t>Cheapest GPU is one you already own.</t>
  </si>
  <si>
    <t>None</t>
  </si>
  <si>
    <t>BOM</t>
  </si>
  <si>
    <t>Who will patch and monitor it? FTE available?</t>
  </si>
  <si>
    <t>The people line in the TCO is usually the second largest.</t>
  </si>
  <si>
    <t>0.4 FTE platform engineer</t>
  </si>
  <si>
    <t>TCO</t>
  </si>
  <si>
    <t>Budget envelope and timeline?</t>
  </si>
  <si>
    <t>Frames the BOM options.</t>
  </si>
  <si>
    <t>INR 30-50 lakh, 6 months</t>
  </si>
  <si>
    <t>How will they know it worked? (metric)</t>
  </si>
  <si>
    <t>Answer accuracy rating, time saved, tickets deflected.</t>
  </si>
  <si>
    <t>Trainer satisfaction &gt;= 4/5</t>
  </si>
  <si>
    <t>Day 2</t>
  </si>
  <si>
    <t>2 · Sizing worksheet</t>
  </si>
  <si>
    <t>Green cells come from "1 Discovery". Yellow cells are sizing assumptions you may change. Black cells are formulas. Red-tinted rows are the results to read out to the customer.</t>
  </si>
  <si>
    <t>Inputs from discovery</t>
  </si>
  <si>
    <t>Users</t>
  </si>
  <si>
    <t>Peak concurrent conversations</t>
  </si>
  <si>
    <t>Queries per day</t>
  </si>
  <si>
    <t>Input tokens per query</t>
  </si>
  <si>
    <t>Output tokens per query</t>
  </si>
  <si>
    <t>Longest context (tokens)</t>
  </si>
  <si>
    <t>Answer time target</t>
  </si>
  <si>
    <t>seconds</t>
  </si>
  <si>
    <t>Model</t>
  </si>
  <si>
    <t>Change in 1 Discovery (drop-down).</t>
  </si>
  <si>
    <t>Precision</t>
  </si>
  <si>
    <t>Growth multiplier to size for</t>
  </si>
  <si>
    <t>Applied to concurrency and tokens/day in the "sized for growth" rows.</t>
  </si>
  <si>
    <t>Sizing assumptions (change if you have better numbers)</t>
  </si>
  <si>
    <t>Runtime overhead factor on weights</t>
  </si>
  <si>
    <t>x</t>
  </si>
  <si>
    <t>Engine, CUDA context, fragmentation. 1.1 is conservative for vLLM.</t>
  </si>
  <si>
    <t>KV cache precision</t>
  </si>
  <si>
    <t>FP16</t>
  </si>
  <si>
    <t>FP16 (2 bytes) is the default. FP8 KV cache halves it on Hopper+ cards.</t>
  </si>
  <si>
    <t>Fixed headroom (GB)</t>
  </si>
  <si>
    <t>GB</t>
  </si>
  <si>
    <t>Activations, temporaries, safety margin.</t>
  </si>
  <si>
    <t>GPU card for this design</t>
  </si>
  <si>
    <t>NVIDIA L40S 48GB</t>
  </si>
  <si>
    <t>Pick from the GPU library. Compare alternatives in the table at the bottom.</t>
  </si>
  <si>
    <t>N+1 (second server for availability)?</t>
  </si>
  <si>
    <t>Yes doubles the server count in the BOM. Take it from the availability answer in discovery.</t>
  </si>
  <si>
    <t>Measured aggregate throughput per GPU (tokens/s)</t>
  </si>
  <si>
    <t>tokens/s</t>
  </si>
  <si>
    <t>MEASURE THIS. Rent the exact card, load the exact model, run "vllm bench serve" at the customer's concurrency. 250 is a placeholder for a 70B INT4 on one L40S-class card; do not present it as fact.</t>
  </si>
  <si>
    <t>Throughput safety margin</t>
  </si>
  <si>
    <t>Size for required x (1 + margin).</t>
  </si>
  <si>
    <t>Embedding dimensions</t>
  </si>
  <si>
    <t>bge-base / nomic = 768; OpenAI-3-large = 3072. 4 bytes each (float32).</t>
  </si>
  <si>
    <t>Chunks per page</t>
  </si>
  <si>
    <t>~400-token chunks, ~2 per page.</t>
  </si>
  <si>
    <t>Average bytes per chunk (text + metadata)</t>
  </si>
  <si>
    <t>bytes</t>
  </si>
  <si>
    <t>Vector index overhead factor</t>
  </si>
  <si>
    <t>HNSW index roughly +50%.</t>
  </si>
  <si>
    <t>Model versions kept on disk</t>
  </si>
  <si>
    <t>Current, previous, candidate.</t>
  </si>
  <si>
    <t>Prompt/trace log retention (days)</t>
  </si>
  <si>
    <t>days</t>
  </si>
  <si>
    <t>Server base power excluding GPUs (W)</t>
  </si>
  <si>
    <t>W</t>
  </si>
  <si>
    <t>2-socket 2U server, fans, NVMe, NICs.</t>
  </si>
  <si>
    <t>Max GPUs per server</t>
  </si>
  <si>
    <t>2U PCIe servers take 2-4; HGX takes 8.</t>
  </si>
  <si>
    <t>Model and card facts (looked up)</t>
  </si>
  <si>
    <t>Parameters (billions)</t>
  </si>
  <si>
    <t>Layers</t>
  </si>
  <si>
    <t>KV heads</t>
  </si>
  <si>
    <t>Head dimension</t>
  </si>
  <si>
    <t>Bytes per parameter</t>
  </si>
  <si>
    <t>FP16=2, FP8=1, INT8=1, INT4=0.5</t>
  </si>
  <si>
    <t>Bytes per KV value</t>
  </si>
  <si>
    <t>VRAM per card (GB)</t>
  </si>
  <si>
    <t>Card TDP (W)</t>
  </si>
  <si>
    <t>In the working currency from Settings.</t>
  </si>
  <si>
    <t>Step 1 · Tokens per day and per month</t>
  </si>
  <si>
    <t>Tokens per day</t>
  </si>
  <si>
    <t>queries/day x (input + output)</t>
  </si>
  <si>
    <t>Tokens per month (22 working days)</t>
  </si>
  <si>
    <t>Tokens per day, sized for growth</t>
  </si>
  <si>
    <t>Step 2 · Weight memory</t>
  </si>
  <si>
    <t>Weights (GB, raw)</t>
  </si>
  <si>
    <t>parameters x bytes per parameter. 70B x 2 = 140 GB; 70B x 0.5 = 35 GB.</t>
  </si>
  <si>
    <t>Weights with runtime overhead (GB)</t>
  </si>
  <si>
    <t>This is what the GPU must hold before a single user connects.</t>
  </si>
  <si>
    <t>Step 3 · KV cache</t>
  </si>
  <si>
    <t>KV cache per token (KB)</t>
  </si>
  <si>
    <t>2 x layers x KV heads x head dim x bytes. Llama-3.3-70B = 320 KB.</t>
  </si>
  <si>
    <t>Average tokens per conversation</t>
  </si>
  <si>
    <t>KV per average conversation (GB)</t>
  </si>
  <si>
    <t>KV per longest-context conversation (GB)</t>
  </si>
  <si>
    <t>KV cache at peak concurrency (GB)</t>
  </si>
  <si>
    <t>Usually the number that decides the GPU count.</t>
  </si>
  <si>
    <t>KV cache at peak, sized for growth (GB)</t>
  </si>
  <si>
    <t>Step 4 · VRAM and GPU count</t>
  </si>
  <si>
    <t>VRAM needed today (GB)</t>
  </si>
  <si>
    <t>weights + KV cache + headroom</t>
  </si>
  <si>
    <t>VRAM needed at growth (GB)</t>
  </si>
  <si>
    <t>Cards needed (raw)</t>
  </si>
  <si>
    <t>Rounded up. Cards in one server share memory through tensor parallelism.</t>
  </si>
  <si>
    <t>Cards per server (tensor-parallel, power of 2)</t>
  </si>
  <si>
    <t>vLLM tensor-parallel sizes are 1, 2, 4, 8.</t>
  </si>
  <si>
    <t>Servers needed for memory</t>
  </si>
  <si>
    <t>More than 1 means the model does not fit in one server: pipeline parallel or a bigger card.</t>
  </si>
  <si>
    <t>Total VRAM in the design (GB)</t>
  </si>
  <si>
    <t>VRAM left for KV cache (GB)</t>
  </si>
  <si>
    <t>Max concurrent average conversations the design holds</t>
  </si>
  <si>
    <t>Compare with peak concurrency. Below it = requests queue or get rejected.</t>
  </si>
  <si>
    <t>Max concurrent longest-context conversations</t>
  </si>
  <si>
    <t>Verdict</t>
  </si>
  <si>
    <t>Step 5 · Throughput (measure, then check)</t>
  </si>
  <si>
    <t>Required aggregate output tokens/s</t>
  </si>
  <si>
    <t>peak concurrent x output tokens / answer-time target</t>
  </si>
  <si>
    <t>Required with safety margin</t>
  </si>
  <si>
    <t>Available tokens/s (measured per GPU x GPUs)</t>
  </si>
  <si>
    <t>Only as good as the measured number you entered.</t>
  </si>
  <si>
    <t>Throughput verdict</t>
  </si>
  <si>
    <t>GPUs needed for throughput alone</t>
  </si>
  <si>
    <t>GPUs to quote (max of memory and throughput)</t>
  </si>
  <si>
    <t>Servers to quote (before N+1)</t>
  </si>
  <si>
    <t>Servers to quote (with N+1 if chosen)</t>
  </si>
  <si>
    <t>GPUs to quote (with N+1 if chosen)</t>
  </si>
  <si>
    <t>Step 6 · Storage</t>
  </si>
  <si>
    <t>Chunks in the corpus</t>
  </si>
  <si>
    <t>Vector database size (GB)</t>
  </si>
  <si>
    <t>chunks x (dims x 4 bytes + text) x index overhead. Small.</t>
  </si>
  <si>
    <t>Source documents (GB, at 5 MB each)</t>
  </si>
  <si>
    <t>Model weights on disk (GB)</t>
  </si>
  <si>
    <t>versions kept x raw weight size</t>
  </si>
  <si>
    <t>Prompt / trace logs (GB)</t>
  </si>
  <si>
    <t>~4 bytes per token, retention days</t>
  </si>
  <si>
    <t>Backup target (GB)</t>
  </si>
  <si>
    <t>2x data + one copy of weights; +10 GB for databases/config</t>
  </si>
  <si>
    <t>Server NVMe to specify (TB, mirrored pair)</t>
  </si>
  <si>
    <t>x2 for growth, +100 GB OS/containers, minimum 1.92 TB (smallest sensible enterprise NVMe); buy as 2 x this size in RAID1.</t>
  </si>
  <si>
    <t>Step 7 · Server, network, power</t>
  </si>
  <si>
    <t>System RAM to specify (GB)</t>
  </si>
  <si>
    <t>1.5 x weights (staging through RAM) + 64 GB for everything else, rounded to 64 GB DIMM steps, min 128.</t>
  </si>
  <si>
    <t>CPU cores to specify</t>
  </si>
  <si>
    <t>vLLM 8-16, Postgres 4, identity 2, observability 4, app 4, OS/K8s 4. Two 16-core sockets is the standard answer.</t>
  </si>
  <si>
    <t>Network</t>
  </si>
  <si>
    <t>Single-node inference. 100 GbE / InfiniBand only for multi-node training.</t>
  </si>
  <si>
    <t>Power per server (kW)</t>
  </si>
  <si>
    <t>Power for all servers (kW)</t>
  </si>
  <si>
    <t>Energy per year (kWh)</t>
  </si>
  <si>
    <t>Rack units</t>
  </si>
  <si>
    <t>2U for up to 4 PCIe cards; 8U-class for HGX.</t>
  </si>
  <si>
    <t>GPU comparison for this workload (all cards in the library)</t>
  </si>
  <si>
    <t>GPU card</t>
  </si>
  <si>
    <t>VRAM (GB)</t>
  </si>
  <si>
    <t>Cards (raw)</t>
  </si>
  <si>
    <t>Cards (TP)</t>
  </si>
  <si>
    <t>Max avg conversations</t>
  </si>
  <si>
    <t>Fits peak today?</t>
  </si>
  <si>
    <t>kW (cards only)</t>
  </si>
  <si>
    <t>Memory comparison only: "Fits" means the KV cache for peak concurrency fits, not that the card is fast enough. Cheap cards (L4) may fit and still miss the latency target; check Step 5 with a measured tokens/s for that card. Cards (TP) assumes one server; if Cards (raw) exceeds 8 the model needs more than one server or a bigger card.</t>
  </si>
  <si>
    <t>3 · Bill of materials</t>
  </si>
  <si>
    <t>Quantities come from "2 Sizing". Indicative prices are Indian list prices (September 2026) stored in INR and converted to the working currency from Settings. Type a real quote in "Your quote" to override the converted figure for that line.</t>
  </si>
  <si>
    <t>Line</t>
  </si>
  <si>
    <t>Item</t>
  </si>
  <si>
    <t>Qty</t>
  </si>
  <si>
    <t>Indicative unit (INR)</t>
  </si>
  <si>
    <t>Notes</t>
  </si>
  <si>
    <t>GPU server chassis: 2 x 16-core CPU, RAM per sizing, 2 x NVMe per sizing, 2 x 25 GbE, redundant PSU, 3-yr warranty</t>
  </si>
  <si>
    <t>Per server, without GPUs. 2U PCIe class; HGX chassis costs more.</t>
  </si>
  <si>
    <t>GPU cards (per 2 Sizing selection)</t>
  </si>
  <si>
    <t>Unit price pulled from GPU library (already in the working currency).</t>
  </si>
  <si>
    <t>Rack, PDU, 25 GbE switch ports, cabling</t>
  </si>
  <si>
    <t>Often existing.</t>
  </si>
  <si>
    <t>Linux + Kubernetes (K3s/RKE2) + NVIDIA GPU Operator</t>
  </si>
  <si>
    <t>Open-source route. Replace with OpenShift / VKS / NKP subscription if chosen.</t>
  </si>
  <si>
    <t>vLLM + open-weight model</t>
  </si>
  <si>
    <t>Open source. Check the model licence (Llama = open weights, not OSI).</t>
  </si>
  <si>
    <t>PostgreSQL + pgvector, Keycloak, Prometheus/Grafana, Langfuse, Velero, MinIO</t>
  </si>
  <si>
    <t>Open source.</t>
  </si>
  <si>
    <t>Application (RAG UI, e.g. Streamlit / Open WebUI)</t>
  </si>
  <si>
    <t>Existing or open source.</t>
  </si>
  <si>
    <t>Implementation services (days x rate)</t>
  </si>
  <si>
    <t>Install, harden, GitOps, runbooks, handover. Adjust days.</t>
  </si>
  <si>
    <t>Recurring options (per year)</t>
  </si>
  <si>
    <t>Opt</t>
  </si>
  <si>
    <t>Indicative unit / yr (INR)</t>
  </si>
  <si>
    <t>A</t>
  </si>
  <si>
    <t>NVIDIA AI Enterprise subscription (per GPU per year)</t>
  </si>
  <si>
    <t>List ~US$4,500 per GPU per year. Buy when you want NIM and a support line.</t>
  </si>
  <si>
    <t>B</t>
  </si>
  <si>
    <t>Commercial Kubernetes subscription (OpenShift / VKS / NKP), per server per year</t>
  </si>
  <si>
    <t>Quote. Licensed per core/socket in reality; placeholder per server.</t>
  </si>
  <si>
    <t>C</t>
  </si>
  <si>
    <t>Hardware support renewal after warranty, per server per year</t>
  </si>
  <si>
    <t>Years 4+ only; included in 3-yr warranty above.</t>
  </si>
  <si>
    <t>D</t>
  </si>
  <si>
    <t>Commercial observability / backup (Datadog, Kasten...)</t>
  </si>
  <si>
    <t>Open-source route = 0.</t>
  </si>
  <si>
    <t>Include which options in the TCO? (Yes/No per row below)</t>
  </si>
  <si>
    <t>4 · Three-year TCO: self-hosted vs API</t>
  </si>
  <si>
    <t>Yellow = assumptions to agree with the customer. Money is in the working currency from Settings. The break-even line is the sentence to say out loud.</t>
  </si>
  <si>
    <t>Assumptions</t>
  </si>
  <si>
    <t>Price assumptions</t>
  </si>
  <si>
    <t>Indicative (INR)</t>
  </si>
  <si>
    <t>API price per million tokens (blended in+out)</t>
  </si>
  <si>
    <t>Groq / provider paid tier for a 70B-class model, Sept 2026. Refresh from the price sheet.</t>
  </si>
  <si>
    <t>Electricity price per kWh incl. cooling uplift</t>
  </si>
  <si>
    <t>Commercial tariff plus ~20% for cooling (PUE 1.2).</t>
  </si>
  <si>
    <t>Platform engineer cost per FTE per year</t>
  </si>
  <si>
    <t>Loaded cost.</t>
  </si>
  <si>
    <t>Horizon (years)</t>
  </si>
  <si>
    <t>Hardware refresh cycle.</t>
  </si>
  <si>
    <t>FTE needed for self-hosted</t>
  </si>
  <si>
    <t>Patching, monitoring, model swaps. 0.3-0.5 for one or two servers.</t>
  </si>
  <si>
    <t>FTE needed for API route</t>
  </si>
  <si>
    <t>Key rotation, cost review.</t>
  </si>
  <si>
    <t>Hardware support after warranty (% of hardware per year, years 4+)</t>
  </si>
  <si>
    <t>Not used inside a 3-year horizon; kept for 5-year runs.</t>
  </si>
  <si>
    <t>Self-hosted</t>
  </si>
  <si>
    <t>One-time hardware + implementation</t>
  </si>
  <si>
    <t>Power over horizon</t>
  </si>
  <si>
    <t>kWh/yr x tariff x years</t>
  </si>
  <si>
    <t>Recurring options over horizon (AIE, commercial K8s...)</t>
  </si>
  <si>
    <t>Support beyond warranty</t>
  </si>
  <si>
    <t>People over horizon</t>
  </si>
  <si>
    <t>Self-hosted total over horizon</t>
  </si>
  <si>
    <t>API route</t>
  </si>
  <si>
    <t>Tokens over horizon</t>
  </si>
  <si>
    <t>tokens/month x 12 x years (today's volume; see growth row)</t>
  </si>
  <si>
    <t>Token cost over horizon</t>
  </si>
  <si>
    <t>API total over horizon</t>
  </si>
  <si>
    <t>API total if volume grows by the growth multiplier from day 1</t>
  </si>
  <si>
    <t>Worst case for the API side; real growth ramps.</t>
  </si>
  <si>
    <t>Self-hosted cost / API cost</t>
  </si>
  <si>
    <t>&gt; 1 means the API is cheaper by that factor.</t>
  </si>
  <si>
    <t>Break-even tokens per month</t>
  </si>
  <si>
    <t>Monthly token volume at which the API bill equals the self-hosted bill.</t>
  </si>
  <si>
    <t>Break-even tokens per day (22 working days)</t>
  </si>
  <si>
    <t>Break-even as a multiple of today's daily volume</t>
  </si>
  <si>
    <t>Read out: "self-hosting pays only above N times your current usage".</t>
  </si>
  <si>
    <t>The sentence for the proposal</t>
  </si>
  <si>
    <t>5 · Decision: should this customer self-host?</t>
  </si>
  <si>
    <t>Answer Yes/No from the discovery notes. Two or more Yes = self-host is defensible. Then walk the checklist before the purchase order.</t>
  </si>
  <si>
    <t>Where the evidence is</t>
  </si>
  <si>
    <t>Must documents or prompts stay on-prem by contract or regulation?</t>
  </si>
  <si>
    <t>Yes</t>
  </si>
  <si>
    <t>Discovery Q11 (data classification)</t>
  </si>
  <si>
    <t>Are they hitting API quotas or rate limits every week?</t>
  </si>
  <si>
    <t>Provider dashboard, Discovery Q3-4</t>
  </si>
  <si>
    <t>Must it work offline or in an air-gapped site?</t>
  </si>
  <si>
    <t>Discovery Q13</t>
  </si>
  <si>
    <t>Do they have someone who will patch and monitor it?</t>
  </si>
  <si>
    <t>Discovery Q20</t>
  </si>
  <si>
    <t>Is learning / demonstrating the stack an explicit goal?</t>
  </si>
  <si>
    <t>Discovery Q22, sponsor conversation</t>
  </si>
  <si>
    <t>Count of Yes</t>
  </si>
  <si>
    <t>Pre-purchase-order checklist</t>
  </si>
  <si>
    <t>Done?</t>
  </si>
  <si>
    <t>Ten discovery inputs signed off by the business, not assumed by IT</t>
  </si>
  <si>
    <t>Model quality trial done on the API with real documents; size decided after</t>
  </si>
  <si>
    <t>VRAM = weights + KV cache + headroom, at peak concurrency and longest context (2 Sizing verdict = Fits)</t>
  </si>
  <si>
    <t>Throughput measured on a rented identical GPU with vllm bench serve; measured number entered in 2 Sizing</t>
  </si>
  <si>
    <t>N+1 decision written down with the maintenance window it implies</t>
  </si>
  <si>
    <t>Three-year TCO side by side with the API; break-even stated in tokens per day</t>
  </si>
  <si>
    <t>The one requirement that justifies self-hosting named in the first paragraph of the proposal</t>
  </si>
  <si>
    <t>Licence units confirmed with vendors (core / GPU / node / user)</t>
  </si>
  <si>
    <t>Model licence checked (open weights vs open source) against how the tool will be distributed</t>
  </si>
  <si>
    <t>Power, rack units and network ports confirmed with the data-centre team</t>
  </si>
  <si>
    <t>Model endpoint stays internal (no public exposure of vLLM); identity provider agreed</t>
  </si>
  <si>
    <t>Backup target and restore test scheduled; Day-2 owner named</t>
  </si>
  <si>
    <t>Items done</t>
  </si>
  <si>
    <t>Model library</t>
  </si>
  <si>
    <t>Architecture facts used by the KV-cache formula. Verify any new row against the model's config.json (num_hidden_layers, num_key_value_heads, hidden_size / num_attention_heads).</t>
  </si>
  <si>
    <t>Parameters (B)</t>
  </si>
  <si>
    <t>Head dim</t>
  </si>
  <si>
    <t>KV KB/token @FP16</t>
  </si>
  <si>
    <t>Meta. Open weights (Llama licence). The 70B used throughout the blog.</t>
  </si>
  <si>
    <t>Llama-3.1-8B-Instruct</t>
  </si>
  <si>
    <t>Meta. The laptop-sized option; good for RAG over documents.</t>
  </si>
  <si>
    <t>Llama-3.2-3B-Instruct</t>
  </si>
  <si>
    <t>Meta. Edge / CPU-class.</t>
  </si>
  <si>
    <t>Llama-3.1-405B-Instruct</t>
  </si>
  <si>
    <t>Meta. Frontier scale; multi-node only.</t>
  </si>
  <si>
    <t>Qwen2.5-72B-Instruct</t>
  </si>
  <si>
    <t>Alibaba. Apache-2.0. Check procurement policy.</t>
  </si>
  <si>
    <t>Qwen2.5-32B-Instruct</t>
  </si>
  <si>
    <t>Alibaba. Apache-2.0. Strong mid-size.</t>
  </si>
  <si>
    <t>Qwen2.5-14B-Instruct</t>
  </si>
  <si>
    <t>Alibaba. Apache-2.0.</t>
  </si>
  <si>
    <t>Qwen2.5-7B-Instruct</t>
  </si>
  <si>
    <t>Alibaba. Apache-2.0. Note 4 KV heads: cheaper KV cache.</t>
  </si>
  <si>
    <t>Mistral-7B-Instruct</t>
  </si>
  <si>
    <t>Mistral AI. Apache-2.0.</t>
  </si>
  <si>
    <t>Mistral-Small-24B-Instruct</t>
  </si>
  <si>
    <t>Granite-3.x-8B-Instruct</t>
  </si>
  <si>
    <t>IBM. Apache-2.0 with indemnity via watsonx.</t>
  </si>
  <si>
    <t>Custom (enter values)</t>
  </si>
  <si>
    <t>Overwrite these blue cells with the model card values.</t>
  </si>
  <si>
    <t>KV KB/token = 2 x layers x KV heads x head dim x 2 bytes / 1024. Llama-3.3-70B = 320 KB/token.</t>
  </si>
  <si>
    <t>GPU library</t>
  </si>
  <si>
    <t>Card specs from vendor datasheets. Indicative prices are Indian list prices (September 2026) stored in INR and converted to the working currency from Settings; replace with quotes.</t>
  </si>
  <si>
    <t>TDP (W)</t>
  </si>
  <si>
    <t>Indicative price (INR)</t>
  </si>
  <si>
    <t>Form factor</t>
  </si>
  <si>
    <t>PCIe, 2-slot</t>
  </si>
  <si>
    <t>Enterprise inference / fine-tune sweet spot. Fits 70B INT4 with little KV room.</t>
  </si>
  <si>
    <t>NVIDIA RTX PRO 6000 Blackwell 96GB</t>
  </si>
  <si>
    <t>Workstation/server Blackwell; large VRAM per card.</t>
  </si>
  <si>
    <t>NVIDIA RTX 6000 Ada 48GB</t>
  </si>
  <si>
    <t>Workstation card; fine for a lab or single team.</t>
  </si>
  <si>
    <t>NVIDIA L4 24GB</t>
  </si>
  <si>
    <t>PCIe, 1-slot</t>
  </si>
  <si>
    <t>Low power; 8B-class models and embeddings.</t>
  </si>
  <si>
    <t>NVIDIA A100 80GB PCIe</t>
  </si>
  <si>
    <t>PCIe</t>
  </si>
  <si>
    <t>Previous generation; often available second-hand or in cloud.</t>
  </si>
  <si>
    <t>NVIDIA H100 80GB PCIe</t>
  </si>
  <si>
    <t>Data-centre class; FP8 native.</t>
  </si>
  <si>
    <t>NVIDIA H100 80GB SXM</t>
  </si>
  <si>
    <t>SXM (HGX 8-GPU board)</t>
  </si>
  <si>
    <t>Needs an HGX chassis; NVLink.</t>
  </si>
  <si>
    <t>NVIDIA H200 141GB SXM</t>
  </si>
  <si>
    <t>70B FP16 fits on two; 70B INT4 on one with big KV room.</t>
  </si>
  <si>
    <t>NVIDIA B200 180GB SXM</t>
  </si>
  <si>
    <t>Blackwell; liquid cooling typical.</t>
  </si>
  <si>
    <t>AMD Instinct MI300X 192GB</t>
  </si>
  <si>
    <t>OAM (8-GPU board)</t>
  </si>
  <si>
    <t>ROCm stack; vLLM supported.</t>
  </si>
  <si>
    <t>Overwrite with the card you are quoting.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</si>
</sst>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000"/>
    <numFmt numFmtId="166" formatCode="0.0"/>
    <numFmt numFmtId="167" formatCode="0.0&quot;x&quot;"/>
  </numFmts>
  <fonts count="9" x14ac:knownFonts="1">
    <font>
      <sz val="11"/>
      <color theme="1"/>
      <name val="Calibri"/>
      <family val="2"/>
      <scheme val="minor"/>
    </font>
    <font>
      <b/>
      <sz val="16"/>
      <color rgb="FF141618"/>
      <name val="Arial"/>
    </font>
    <font>
      <i/>
      <sz val="9"/>
      <color rgb="FF5F5E5A"/>
      <name val="Arial"/>
    </font>
    <font>
      <b/>
      <sz val="12"/>
      <color rgb="FFCE242C"/>
      <name val="Arial"/>
    </font>
    <font>
      <sz val="10"/>
      <name val="Arial"/>
    </font>
    <font>
      <b/>
      <sz val="10"/>
      <name val="Arial"/>
    </font>
    <font>
      <sz val="10"/>
      <color rgb="FF0000FF"/>
      <name val="Arial"/>
    </font>
    <font>
      <b/>
      <sz val="10"/>
      <color rgb="FFFFFFFF"/>
      <name val="Arial"/>
    </font>
    <font>
      <sz val="10"/>
      <color rgb="FF008000"/>
      <name val="Arial"/>
    </font>
  </fonts>
  <fills count="5">
    <fill>
      <patternFill patternType="none"/>
    </fill>
    <fill>
      <patternFill patternType="gray125"/>
    </fill>
    <fill>
      <patternFill patternType="solid">
        <fgColor rgb="FFFDE9EA"/>
      </patternFill>
    </fill>
    <fill>
      <patternFill patternType="solid">
        <fgColor rgb="FFFFFF00"/>
      </patternFill>
    </fill>
    <fill>
      <patternFill patternType="solid">
        <fgColor rgb="FF141618"/>
      </patternFill>
    </fill>
  </fills>
  <borders count="4">
    <border>
      <left/>
      <right/>
      <top/>
      <bottom/>
      <diagonal/>
    </border>
    <border>
      <left style="thin">
        <color rgb="FFD9D9D9"/>
      </left>
      <right style="thin">
        <color rgb="FFD9D9D9"/>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s>
  <cellStyleXfs count="1">
    <xf numFmtId="0" fontId="0" fillId="0" borderId="0"/>
  </cellStyleXfs>
  <cellXfs count="47">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2" fillId="0" borderId="0" xfId="0" applyFont="1"/>
    <xf numFmtId="0" fontId="5" fillId="2" borderId="1" xfId="0" applyFont="1" applyFill="1" applyBorder="1" applyAlignment="1">
      <alignment vertical="top" wrapText="1"/>
    </xf>
    <xf numFmtId="0" fontId="6" fillId="3" borderId="1" xfId="0" applyFont="1" applyFill="1" applyBorder="1" applyAlignment="1">
      <alignment vertical="top" wrapText="1"/>
    </xf>
    <xf numFmtId="0" fontId="2" fillId="0" borderId="1" xfId="0" applyFont="1" applyBorder="1" applyAlignment="1">
      <alignment vertical="top" wrapText="1"/>
    </xf>
    <xf numFmtId="0" fontId="4" fillId="0" borderId="1" xfId="0" applyFont="1" applyBorder="1" applyAlignment="1">
      <alignment vertical="top" wrapText="1"/>
    </xf>
    <xf numFmtId="164" fontId="4" fillId="2" borderId="1" xfId="0" applyNumberFormat="1" applyFont="1" applyFill="1" applyBorder="1" applyAlignment="1">
      <alignment vertical="top" wrapText="1"/>
    </xf>
    <xf numFmtId="0" fontId="3" fillId="0" borderId="0" xfId="0" applyFont="1"/>
    <xf numFmtId="0" fontId="7" fillId="4" borderId="1" xfId="0" applyFont="1" applyFill="1" applyBorder="1" applyAlignment="1">
      <alignment horizontal="center" vertical="center" wrapText="1"/>
    </xf>
    <xf numFmtId="165" fontId="6" fillId="3" borderId="1" xfId="0" applyNumberFormat="1" applyFont="1" applyFill="1" applyBorder="1" applyAlignment="1">
      <alignment vertical="top" wrapText="1"/>
    </xf>
    <xf numFmtId="1" fontId="4" fillId="0" borderId="1" xfId="0" applyNumberFormat="1" applyFont="1" applyBorder="1" applyAlignment="1">
      <alignment horizontal="center" vertical="center" wrapText="1"/>
    </xf>
    <xf numFmtId="0" fontId="5" fillId="0" borderId="1" xfId="0" applyFont="1" applyBorder="1" applyAlignment="1">
      <alignment vertical="top" wrapText="1"/>
    </xf>
    <xf numFmtId="1" fontId="6" fillId="3" borderId="1" xfId="0" applyNumberFormat="1" applyFont="1" applyFill="1" applyBorder="1" applyAlignment="1">
      <alignment vertical="top" wrapText="1"/>
    </xf>
    <xf numFmtId="3" fontId="6" fillId="3" borderId="1" xfId="0" applyNumberFormat="1" applyFont="1" applyFill="1" applyBorder="1" applyAlignment="1">
      <alignment vertical="top" wrapText="1"/>
    </xf>
    <xf numFmtId="167" fontId="6" fillId="3" borderId="1" xfId="0" applyNumberFormat="1" applyFont="1" applyFill="1" applyBorder="1" applyAlignment="1">
      <alignment vertical="top" wrapText="1"/>
    </xf>
    <xf numFmtId="3" fontId="8" fillId="0" borderId="1" xfId="0" applyNumberFormat="1" applyFont="1" applyBorder="1" applyAlignment="1">
      <alignment vertical="top" wrapText="1"/>
    </xf>
    <xf numFmtId="1" fontId="8" fillId="0" borderId="1" xfId="0" applyNumberFormat="1" applyFont="1" applyBorder="1" applyAlignment="1">
      <alignment vertical="top" wrapText="1"/>
    </xf>
    <xf numFmtId="0" fontId="8" fillId="0" borderId="1" xfId="0" applyFont="1" applyBorder="1" applyAlignment="1">
      <alignment vertical="top" wrapText="1"/>
    </xf>
    <xf numFmtId="167" fontId="8" fillId="0" borderId="1" xfId="0" applyNumberFormat="1" applyFont="1" applyBorder="1" applyAlignment="1">
      <alignment vertical="top" wrapText="1"/>
    </xf>
    <xf numFmtId="2" fontId="6" fillId="3" borderId="1" xfId="0" applyNumberFormat="1" applyFont="1" applyFill="1" applyBorder="1" applyAlignment="1">
      <alignment vertical="top" wrapText="1"/>
    </xf>
    <xf numFmtId="9" fontId="6" fillId="3" borderId="1" xfId="0" applyNumberFormat="1" applyFont="1" applyFill="1" applyBorder="1" applyAlignment="1">
      <alignment vertical="top" wrapText="1"/>
    </xf>
    <xf numFmtId="166" fontId="6" fillId="3" borderId="1" xfId="0" applyNumberFormat="1" applyFont="1" applyFill="1" applyBorder="1" applyAlignment="1">
      <alignment vertical="top" wrapText="1"/>
    </xf>
    <xf numFmtId="166" fontId="4" fillId="0" borderId="1" xfId="0" applyNumberFormat="1" applyFont="1" applyBorder="1" applyAlignment="1">
      <alignment vertical="top" wrapText="1"/>
    </xf>
    <xf numFmtId="1" fontId="4" fillId="0" borderId="1" xfId="0" applyNumberFormat="1" applyFont="1" applyBorder="1" applyAlignment="1">
      <alignment vertical="top" wrapText="1"/>
    </xf>
    <xf numFmtId="3" fontId="4" fillId="0" borderId="1" xfId="0" applyNumberFormat="1" applyFont="1" applyBorder="1" applyAlignment="1">
      <alignment vertical="top" wrapText="1"/>
    </xf>
    <xf numFmtId="166" fontId="4" fillId="2" borderId="1" xfId="0" applyNumberFormat="1" applyFont="1" applyFill="1" applyBorder="1" applyAlignment="1">
      <alignment vertical="top" wrapText="1"/>
    </xf>
    <xf numFmtId="2" fontId="4" fillId="0" borderId="1" xfId="0" applyNumberFormat="1" applyFont="1" applyBorder="1" applyAlignment="1">
      <alignment vertical="top" wrapText="1"/>
    </xf>
    <xf numFmtId="1" fontId="4" fillId="2" borderId="1" xfId="0" applyNumberFormat="1" applyFont="1" applyFill="1" applyBorder="1" applyAlignment="1">
      <alignment vertical="top" wrapText="1"/>
    </xf>
    <xf numFmtId="3" fontId="4" fillId="2" borderId="1" xfId="0" applyNumberFormat="1" applyFont="1" applyFill="1" applyBorder="1" applyAlignment="1">
      <alignment vertical="top" wrapText="1"/>
    </xf>
    <xf numFmtId="0" fontId="4" fillId="2" borderId="1" xfId="0" applyFont="1" applyFill="1" applyBorder="1" applyAlignment="1">
      <alignment vertical="top" wrapText="1"/>
    </xf>
    <xf numFmtId="166" fontId="8" fillId="0" borderId="1" xfId="0" applyNumberFormat="1" applyFont="1" applyBorder="1" applyAlignment="1">
      <alignment vertical="top" wrapText="1"/>
    </xf>
    <xf numFmtId="2" fontId="4" fillId="2" borderId="1" xfId="0" applyNumberFormat="1" applyFont="1" applyFill="1" applyBorder="1" applyAlignment="1">
      <alignment vertical="top" wrapText="1"/>
    </xf>
    <xf numFmtId="0" fontId="4" fillId="0" borderId="1" xfId="0" applyFont="1" applyBorder="1" applyAlignment="1">
      <alignment horizontal="center" vertical="center" wrapText="1"/>
    </xf>
    <xf numFmtId="3" fontId="5" fillId="2" borderId="1" xfId="0" applyNumberFormat="1" applyFont="1" applyFill="1" applyBorder="1" applyAlignment="1">
      <alignment vertical="top" wrapText="1"/>
    </xf>
    <xf numFmtId="4" fontId="6" fillId="3" borderId="1" xfId="0" applyNumberFormat="1" applyFont="1" applyFill="1" applyBorder="1" applyAlignment="1">
      <alignment vertical="top" wrapText="1"/>
    </xf>
    <xf numFmtId="4" fontId="4" fillId="2" borderId="1" xfId="0" applyNumberFormat="1" applyFont="1" applyFill="1" applyBorder="1" applyAlignment="1">
      <alignment vertical="top" wrapText="1"/>
    </xf>
    <xf numFmtId="167" fontId="4" fillId="2" borderId="1" xfId="0" applyNumberFormat="1" applyFont="1" applyFill="1" applyBorder="1" applyAlignment="1">
      <alignment vertical="top" wrapText="1"/>
    </xf>
    <xf numFmtId="1" fontId="5" fillId="2" borderId="1" xfId="0" applyNumberFormat="1" applyFont="1" applyFill="1" applyBorder="1" applyAlignment="1">
      <alignment vertical="top" wrapText="1"/>
    </xf>
    <xf numFmtId="0" fontId="4" fillId="2" borderId="1" xfId="0" applyFont="1" applyFill="1" applyBorder="1" applyAlignment="1">
      <alignment vertical="top" wrapText="1"/>
    </xf>
    <xf numFmtId="0" fontId="0" fillId="0" borderId="2" xfId="0" applyBorder="1"/>
    <xf numFmtId="0" fontId="0" fillId="0" borderId="3" xfId="0" applyBorder="1"/>
    <xf numFmtId="0" fontId="5" fillId="2"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41618"/>
  </sheetPr>
  <dimension ref="B1:B30"/>
  <sheetViews>
    <sheetView showGridLines="0" tabSelected="1" workbookViewId="0"/>
  </sheetViews>
  <sheetFormatPr defaultRowHeight="14.4" x14ac:dyDescent="0.3"/>
  <cols>
    <col min="1" max="1" width="4" customWidth="1"/>
    <col min="2" max="2" width="110" customWidth="1"/>
  </cols>
  <sheetData>
    <row r="1" spans="2:2" ht="21" x14ac:dyDescent="0.4">
      <c r="B1" s="1" t="s">
        <v>0</v>
      </c>
    </row>
    <row r="2" spans="2:2" ht="22.8" x14ac:dyDescent="0.3">
      <c r="B2" s="2" t="s">
        <v>1</v>
      </c>
    </row>
    <row r="4" spans="2:2" ht="15.6" x14ac:dyDescent="0.3">
      <c r="B4" s="3" t="s">
        <v>2</v>
      </c>
    </row>
    <row r="5" spans="2:2" x14ac:dyDescent="0.3">
      <c r="B5" s="4" t="s">
        <v>3</v>
      </c>
    </row>
    <row r="6" spans="2:2" ht="26.4" x14ac:dyDescent="0.3">
      <c r="B6" s="4" t="s">
        <v>4</v>
      </c>
    </row>
    <row r="7" spans="2:2" ht="26.4" x14ac:dyDescent="0.3">
      <c r="B7" s="4" t="s">
        <v>5</v>
      </c>
    </row>
    <row r="8" spans="2:2" x14ac:dyDescent="0.3">
      <c r="B8" s="4" t="s">
        <v>6</v>
      </c>
    </row>
    <row r="9" spans="2:2" x14ac:dyDescent="0.3">
      <c r="B9" s="4" t="s">
        <v>7</v>
      </c>
    </row>
    <row r="10" spans="2:2" x14ac:dyDescent="0.3">
      <c r="B10" s="4" t="s">
        <v>8</v>
      </c>
    </row>
    <row r="11" spans="2:2" ht="26.4" x14ac:dyDescent="0.3">
      <c r="B11" s="4" t="s">
        <v>9</v>
      </c>
    </row>
    <row r="12" spans="2:2" x14ac:dyDescent="0.3">
      <c r="B12" s="4"/>
    </row>
    <row r="13" spans="2:2" ht="15.6" x14ac:dyDescent="0.3">
      <c r="B13" s="3" t="s">
        <v>10</v>
      </c>
    </row>
    <row r="14" spans="2:2" ht="26.4" x14ac:dyDescent="0.3">
      <c r="B14" s="4" t="s">
        <v>11</v>
      </c>
    </row>
    <row r="15" spans="2:2" x14ac:dyDescent="0.3">
      <c r="B15" s="4"/>
    </row>
    <row r="16" spans="2:2" ht="15.6" x14ac:dyDescent="0.3">
      <c r="B16" s="3" t="s">
        <v>12</v>
      </c>
    </row>
    <row r="17" spans="2:2" ht="52.8" x14ac:dyDescent="0.3">
      <c r="B17" s="4" t="s">
        <v>13</v>
      </c>
    </row>
    <row r="18" spans="2:2" x14ac:dyDescent="0.3">
      <c r="B18" s="4"/>
    </row>
    <row r="19" spans="2:2" ht="15.6" x14ac:dyDescent="0.3">
      <c r="B19" s="3" t="s">
        <v>14</v>
      </c>
    </row>
    <row r="20" spans="2:2" ht="26.4" x14ac:dyDescent="0.3">
      <c r="B20" s="4" t="s">
        <v>15</v>
      </c>
    </row>
    <row r="21" spans="2:2" x14ac:dyDescent="0.3">
      <c r="B21" s="4"/>
    </row>
    <row r="22" spans="2:2" ht="15.6" x14ac:dyDescent="0.3">
      <c r="B22" s="3" t="s">
        <v>16</v>
      </c>
    </row>
    <row r="23" spans="2:2" ht="26.4" x14ac:dyDescent="0.3">
      <c r="B23" s="5" t="s">
        <v>17</v>
      </c>
    </row>
    <row r="24" spans="2:2" x14ac:dyDescent="0.3">
      <c r="B24" s="4"/>
    </row>
    <row r="25" spans="2:2" ht="15.6" x14ac:dyDescent="0.3">
      <c r="B25" s="3" t="s">
        <v>18</v>
      </c>
    </row>
    <row r="26" spans="2:2" ht="39.6" x14ac:dyDescent="0.3">
      <c r="B26" s="4" t="s">
        <v>19</v>
      </c>
    </row>
    <row r="27" spans="2:2" x14ac:dyDescent="0.3">
      <c r="B27" s="4" t="s">
        <v>20</v>
      </c>
    </row>
    <row r="28" spans="2:2" x14ac:dyDescent="0.3">
      <c r="B28" s="4"/>
    </row>
    <row r="29" spans="2:2" ht="15.6" x14ac:dyDescent="0.3">
      <c r="B29" s="3" t="s">
        <v>21</v>
      </c>
    </row>
    <row r="30" spans="2:2" ht="52.8" x14ac:dyDescent="0.3">
      <c r="B30" s="4" t="s">
        <v>22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C3F95"/>
  </sheetPr>
  <dimension ref="A1:E21"/>
  <sheetViews>
    <sheetView showGridLines="0" workbookViewId="0"/>
  </sheetViews>
  <sheetFormatPr defaultRowHeight="14.4" x14ac:dyDescent="0.3"/>
  <cols>
    <col min="1" max="1" width="30" customWidth="1"/>
    <col min="2" max="2" width="16" customWidth="1"/>
    <col min="3" max="3" width="12" customWidth="1"/>
    <col min="4" max="4" width="20" customWidth="1"/>
    <col min="5" max="5" width="44" customWidth="1"/>
  </cols>
  <sheetData>
    <row r="1" spans="1:5" ht="21" x14ac:dyDescent="0.4">
      <c r="A1" s="1" t="s">
        <v>23</v>
      </c>
    </row>
    <row r="2" spans="1:5" x14ac:dyDescent="0.3">
      <c r="A2" s="6" t="s">
        <v>24</v>
      </c>
    </row>
    <row r="4" spans="1:5" ht="34.200000000000003" x14ac:dyDescent="0.3">
      <c r="A4" s="7" t="s">
        <v>25</v>
      </c>
      <c r="B4" s="8" t="s">
        <v>26</v>
      </c>
      <c r="C4" s="9"/>
      <c r="D4" s="9" t="s">
        <v>27</v>
      </c>
    </row>
    <row r="5" spans="1:5" x14ac:dyDescent="0.3">
      <c r="A5" s="10" t="s">
        <v>28</v>
      </c>
      <c r="B5" s="10" t="str">
        <f>INDEX(Settings!$A$10:$C$19,MATCH(Settings!$B$4,Settings!$A$10:$A$19,0),3)</f>
        <v>₹</v>
      </c>
    </row>
    <row r="6" spans="1:5" ht="45.6" x14ac:dyDescent="0.3">
      <c r="A6" s="10" t="s">
        <v>29</v>
      </c>
      <c r="B6" s="11">
        <f>INDEX(Settings!$A$10:$C$19,MATCH(Settings!$B$4,Settings!$A$10:$A$19,0),2)/INDEX(Settings!$A$10:$C$19,MATCH("INR",Settings!$A$10:$A$19,0),2)</f>
        <v>1</v>
      </c>
      <c r="D6" s="9" t="s">
        <v>30</v>
      </c>
    </row>
    <row r="8" spans="1:5" ht="15.6" x14ac:dyDescent="0.3">
      <c r="A8" s="12" t="s">
        <v>31</v>
      </c>
    </row>
    <row r="9" spans="1:5" ht="30" customHeight="1" x14ac:dyDescent="0.3">
      <c r="A9" s="13" t="s">
        <v>32</v>
      </c>
      <c r="B9" s="13" t="s">
        <v>33</v>
      </c>
      <c r="C9" s="13" t="s">
        <v>34</v>
      </c>
      <c r="D9" s="13" t="s">
        <v>12</v>
      </c>
      <c r="E9" s="13" t="s">
        <v>35</v>
      </c>
    </row>
    <row r="10" spans="1:5" x14ac:dyDescent="0.3">
      <c r="A10" s="8" t="s">
        <v>26</v>
      </c>
      <c r="B10" s="14">
        <v>84</v>
      </c>
      <c r="C10" s="8" t="s">
        <v>36</v>
      </c>
      <c r="D10" s="10" t="s">
        <v>37</v>
      </c>
      <c r="E10" s="9" t="s">
        <v>38</v>
      </c>
    </row>
    <row r="11" spans="1:5" x14ac:dyDescent="0.3">
      <c r="A11" s="8" t="s">
        <v>39</v>
      </c>
      <c r="B11" s="14">
        <v>1</v>
      </c>
      <c r="C11" s="8" t="s">
        <v>40</v>
      </c>
      <c r="D11" s="10" t="s">
        <v>41</v>
      </c>
      <c r="E11" s="9"/>
    </row>
    <row r="12" spans="1:5" x14ac:dyDescent="0.3">
      <c r="A12" s="8" t="s">
        <v>42</v>
      </c>
      <c r="B12" s="14">
        <v>0.92</v>
      </c>
      <c r="C12" s="8" t="s">
        <v>43</v>
      </c>
      <c r="D12" s="10" t="s">
        <v>44</v>
      </c>
      <c r="E12" s="9"/>
    </row>
    <row r="13" spans="1:5" x14ac:dyDescent="0.3">
      <c r="A13" s="8" t="s">
        <v>45</v>
      </c>
      <c r="B13" s="14">
        <v>0.78</v>
      </c>
      <c r="C13" s="8" t="s">
        <v>46</v>
      </c>
      <c r="D13" s="10" t="s">
        <v>47</v>
      </c>
      <c r="E13" s="9"/>
    </row>
    <row r="14" spans="1:5" x14ac:dyDescent="0.3">
      <c r="A14" s="8" t="s">
        <v>48</v>
      </c>
      <c r="B14" s="14">
        <v>1.34</v>
      </c>
      <c r="C14" s="8" t="s">
        <v>49</v>
      </c>
      <c r="D14" s="10" t="s">
        <v>50</v>
      </c>
      <c r="E14" s="9"/>
    </row>
    <row r="15" spans="1:5" x14ac:dyDescent="0.3">
      <c r="A15" s="8" t="s">
        <v>51</v>
      </c>
      <c r="B15" s="14">
        <v>3.67</v>
      </c>
      <c r="C15" s="8" t="s">
        <v>51</v>
      </c>
      <c r="D15" s="10" t="s">
        <v>52</v>
      </c>
      <c r="E15" s="9" t="s">
        <v>53</v>
      </c>
    </row>
    <row r="16" spans="1:5" x14ac:dyDescent="0.3">
      <c r="A16" s="8" t="s">
        <v>54</v>
      </c>
      <c r="B16" s="14">
        <v>3.75</v>
      </c>
      <c r="C16" s="8" t="s">
        <v>54</v>
      </c>
      <c r="D16" s="10" t="s">
        <v>55</v>
      </c>
      <c r="E16" s="9" t="s">
        <v>53</v>
      </c>
    </row>
    <row r="17" spans="1:5" x14ac:dyDescent="0.3">
      <c r="A17" s="8" t="s">
        <v>56</v>
      </c>
      <c r="B17" s="14">
        <v>1.5</v>
      </c>
      <c r="C17" s="8" t="s">
        <v>57</v>
      </c>
      <c r="D17" s="10" t="s">
        <v>58</v>
      </c>
      <c r="E17" s="9"/>
    </row>
    <row r="18" spans="1:5" x14ac:dyDescent="0.3">
      <c r="A18" s="8" t="s">
        <v>59</v>
      </c>
      <c r="B18" s="14">
        <v>1.37</v>
      </c>
      <c r="C18" s="8" t="s">
        <v>60</v>
      </c>
      <c r="D18" s="10" t="s">
        <v>61</v>
      </c>
      <c r="E18" s="9"/>
    </row>
    <row r="19" spans="1:5" x14ac:dyDescent="0.3">
      <c r="A19" s="8" t="s">
        <v>62</v>
      </c>
      <c r="B19" s="14">
        <v>150</v>
      </c>
      <c r="C19" s="8" t="s">
        <v>63</v>
      </c>
      <c r="D19" s="10" t="s">
        <v>64</v>
      </c>
      <c r="E19" s="9"/>
    </row>
    <row r="21" spans="1:5" x14ac:dyDescent="0.3">
      <c r="A21" s="6" t="s">
        <v>65</v>
      </c>
    </row>
  </sheetData>
  <dataValidations count="1">
    <dataValidation type="list" sqref="B4" xr:uid="{00000000-0002-0000-0100-000000000000}">
      <formula1>$A$10:$A$19</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E242C"/>
  </sheetPr>
  <dimension ref="A1:F26"/>
  <sheetViews>
    <sheetView showGridLines="0" workbookViewId="0">
      <pane ySplit="4" topLeftCell="A5" activePane="bottomLeft" state="frozen"/>
      <selection pane="bottomLeft"/>
    </sheetView>
  </sheetViews>
  <sheetFormatPr defaultRowHeight="14.4" x14ac:dyDescent="0.3"/>
  <cols>
    <col min="1" max="1" width="5" customWidth="1"/>
    <col min="2" max="2" width="46" customWidth="1"/>
    <col min="3" max="3" width="44" customWidth="1"/>
    <col min="4" max="4" width="22" customWidth="1"/>
    <col min="5" max="5" width="46" customWidth="1"/>
    <col min="6" max="6" width="20" customWidth="1"/>
  </cols>
  <sheetData>
    <row r="1" spans="1:6" ht="21" x14ac:dyDescent="0.4">
      <c r="A1" s="1" t="s">
        <v>66</v>
      </c>
    </row>
    <row r="2" spans="1:6" x14ac:dyDescent="0.3">
      <c r="A2" s="6" t="s">
        <v>67</v>
      </c>
    </row>
    <row r="4" spans="1:6" ht="30" customHeight="1" x14ac:dyDescent="0.3">
      <c r="A4" s="13" t="s">
        <v>68</v>
      </c>
      <c r="B4" s="13" t="s">
        <v>69</v>
      </c>
      <c r="C4" s="13" t="s">
        <v>70</v>
      </c>
      <c r="D4" s="13" t="s">
        <v>71</v>
      </c>
      <c r="E4" s="13" t="s">
        <v>72</v>
      </c>
      <c r="F4" s="13" t="s">
        <v>73</v>
      </c>
    </row>
    <row r="5" spans="1:6" ht="42" customHeight="1" x14ac:dyDescent="0.3">
      <c r="A5" s="15">
        <v>1</v>
      </c>
      <c r="B5" s="16" t="s">
        <v>74</v>
      </c>
      <c r="C5" s="9" t="s">
        <v>75</v>
      </c>
      <c r="D5" s="17">
        <v>50</v>
      </c>
      <c r="E5" s="10"/>
      <c r="F5" s="9" t="s">
        <v>76</v>
      </c>
    </row>
    <row r="6" spans="1:6" ht="42" customHeight="1" x14ac:dyDescent="0.3">
      <c r="A6" s="15">
        <v>2</v>
      </c>
      <c r="B6" s="16" t="s">
        <v>77</v>
      </c>
      <c r="C6" s="9" t="s">
        <v>78</v>
      </c>
      <c r="D6" s="17">
        <v>20</v>
      </c>
      <c r="E6" s="10"/>
      <c r="F6" s="9" t="s">
        <v>79</v>
      </c>
    </row>
    <row r="7" spans="1:6" ht="42" customHeight="1" x14ac:dyDescent="0.3">
      <c r="A7" s="15">
        <v>3</v>
      </c>
      <c r="B7" s="16" t="s">
        <v>80</v>
      </c>
      <c r="C7" s="9" t="s">
        <v>81</v>
      </c>
      <c r="D7" s="18">
        <v>400</v>
      </c>
      <c r="E7" s="10"/>
      <c r="F7" s="9" t="s">
        <v>82</v>
      </c>
    </row>
    <row r="8" spans="1:6" ht="42" customHeight="1" x14ac:dyDescent="0.3">
      <c r="A8" s="15">
        <v>4</v>
      </c>
      <c r="B8" s="16" t="s">
        <v>83</v>
      </c>
      <c r="C8" s="9" t="s">
        <v>84</v>
      </c>
      <c r="D8" s="18">
        <v>2000</v>
      </c>
      <c r="E8" s="10"/>
      <c r="F8" s="9" t="s">
        <v>85</v>
      </c>
    </row>
    <row r="9" spans="1:6" ht="42" customHeight="1" x14ac:dyDescent="0.3">
      <c r="A9" s="15">
        <v>5</v>
      </c>
      <c r="B9" s="16" t="s">
        <v>86</v>
      </c>
      <c r="C9" s="9" t="s">
        <v>87</v>
      </c>
      <c r="D9" s="18">
        <v>3000</v>
      </c>
      <c r="E9" s="10"/>
      <c r="F9" s="9" t="s">
        <v>88</v>
      </c>
    </row>
    <row r="10" spans="1:6" ht="42" customHeight="1" x14ac:dyDescent="0.3">
      <c r="A10" s="15">
        <v>6</v>
      </c>
      <c r="B10" s="16" t="s">
        <v>89</v>
      </c>
      <c r="C10" s="9" t="s">
        <v>90</v>
      </c>
      <c r="D10" s="18">
        <v>500</v>
      </c>
      <c r="E10" s="10"/>
      <c r="F10" s="9" t="s">
        <v>91</v>
      </c>
    </row>
    <row r="11" spans="1:6" ht="42" customHeight="1" x14ac:dyDescent="0.3">
      <c r="A11" s="15">
        <v>7</v>
      </c>
      <c r="B11" s="16" t="s">
        <v>92</v>
      </c>
      <c r="C11" s="9" t="s">
        <v>93</v>
      </c>
      <c r="D11" s="18">
        <v>16000</v>
      </c>
      <c r="E11" s="10"/>
      <c r="F11" s="9" t="s">
        <v>94</v>
      </c>
    </row>
    <row r="12" spans="1:6" ht="42" customHeight="1" x14ac:dyDescent="0.3">
      <c r="A12" s="15">
        <v>8</v>
      </c>
      <c r="B12" s="16" t="s">
        <v>95</v>
      </c>
      <c r="C12" s="9" t="s">
        <v>96</v>
      </c>
      <c r="D12" s="17">
        <v>30</v>
      </c>
      <c r="E12" s="10"/>
      <c r="F12" s="9" t="s">
        <v>82</v>
      </c>
    </row>
    <row r="13" spans="1:6" ht="42" customHeight="1" x14ac:dyDescent="0.3">
      <c r="A13" s="15">
        <v>9</v>
      </c>
      <c r="B13" s="16" t="s">
        <v>97</v>
      </c>
      <c r="C13" s="9" t="s">
        <v>98</v>
      </c>
      <c r="D13" s="8" t="s">
        <v>99</v>
      </c>
      <c r="E13" s="10"/>
      <c r="F13" s="9" t="s">
        <v>100</v>
      </c>
    </row>
    <row r="14" spans="1:6" ht="42" customHeight="1" x14ac:dyDescent="0.3">
      <c r="A14" s="15">
        <v>10</v>
      </c>
      <c r="B14" s="16" t="s">
        <v>101</v>
      </c>
      <c r="C14" s="9" t="s">
        <v>102</v>
      </c>
      <c r="D14" s="8" t="s">
        <v>103</v>
      </c>
      <c r="E14" s="10"/>
      <c r="F14" s="9" t="s">
        <v>100</v>
      </c>
    </row>
    <row r="15" spans="1:6" ht="42" customHeight="1" x14ac:dyDescent="0.3">
      <c r="A15" s="15">
        <v>11</v>
      </c>
      <c r="B15" s="16" t="s">
        <v>104</v>
      </c>
      <c r="C15" s="9" t="s">
        <v>105</v>
      </c>
      <c r="D15" s="8" t="s">
        <v>106</v>
      </c>
      <c r="E15" s="10"/>
      <c r="F15" s="9" t="s">
        <v>107</v>
      </c>
    </row>
    <row r="16" spans="1:6" ht="42" customHeight="1" x14ac:dyDescent="0.3">
      <c r="A16" s="15">
        <v>12</v>
      </c>
      <c r="B16" s="16" t="s">
        <v>108</v>
      </c>
      <c r="C16" s="9" t="s">
        <v>109</v>
      </c>
      <c r="D16" s="8" t="s">
        <v>110</v>
      </c>
      <c r="E16" s="10"/>
      <c r="F16" s="9" t="s">
        <v>111</v>
      </c>
    </row>
    <row r="17" spans="1:6" ht="42" customHeight="1" x14ac:dyDescent="0.3">
      <c r="A17" s="15">
        <v>13</v>
      </c>
      <c r="B17" s="16" t="s">
        <v>112</v>
      </c>
      <c r="C17" s="9" t="s">
        <v>113</v>
      </c>
      <c r="D17" s="8" t="s">
        <v>114</v>
      </c>
      <c r="E17" s="10"/>
      <c r="F17" s="9" t="s">
        <v>107</v>
      </c>
    </row>
    <row r="18" spans="1:6" ht="42" customHeight="1" x14ac:dyDescent="0.3">
      <c r="A18" s="15">
        <v>14</v>
      </c>
      <c r="B18" s="16" t="s">
        <v>115</v>
      </c>
      <c r="C18" s="9" t="s">
        <v>116</v>
      </c>
      <c r="D18" s="18">
        <v>1000</v>
      </c>
      <c r="E18" s="10"/>
      <c r="F18" s="9" t="s">
        <v>117</v>
      </c>
    </row>
    <row r="19" spans="1:6" ht="42" customHeight="1" x14ac:dyDescent="0.3">
      <c r="A19" s="15">
        <v>15</v>
      </c>
      <c r="B19" s="16" t="s">
        <v>118</v>
      </c>
      <c r="C19" s="9" t="s">
        <v>119</v>
      </c>
      <c r="D19" s="18">
        <v>300</v>
      </c>
      <c r="E19" s="10"/>
      <c r="F19" s="9" t="s">
        <v>117</v>
      </c>
    </row>
    <row r="20" spans="1:6" ht="42" customHeight="1" x14ac:dyDescent="0.3">
      <c r="A20" s="15">
        <v>16</v>
      </c>
      <c r="B20" s="16" t="s">
        <v>120</v>
      </c>
      <c r="C20" s="9" t="s">
        <v>121</v>
      </c>
      <c r="D20" s="19">
        <v>2</v>
      </c>
      <c r="E20" s="10"/>
      <c r="F20" s="9" t="s">
        <v>122</v>
      </c>
    </row>
    <row r="21" spans="1:6" ht="42" customHeight="1" x14ac:dyDescent="0.3">
      <c r="A21" s="15">
        <v>17</v>
      </c>
      <c r="B21" s="16" t="s">
        <v>123</v>
      </c>
      <c r="C21" s="9" t="s">
        <v>124</v>
      </c>
      <c r="D21" s="8" t="s">
        <v>125</v>
      </c>
      <c r="E21" s="10"/>
      <c r="F21" s="9" t="s">
        <v>126</v>
      </c>
    </row>
    <row r="22" spans="1:6" ht="42" customHeight="1" x14ac:dyDescent="0.3">
      <c r="A22" s="15">
        <v>18</v>
      </c>
      <c r="B22" s="16" t="s">
        <v>127</v>
      </c>
      <c r="C22" s="9" t="s">
        <v>128</v>
      </c>
      <c r="D22" s="8" t="s">
        <v>129</v>
      </c>
      <c r="E22" s="10"/>
      <c r="F22" s="9" t="s">
        <v>126</v>
      </c>
    </row>
    <row r="23" spans="1:6" ht="42" customHeight="1" x14ac:dyDescent="0.3">
      <c r="A23" s="15">
        <v>19</v>
      </c>
      <c r="B23" s="16" t="s">
        <v>130</v>
      </c>
      <c r="C23" s="9" t="s">
        <v>131</v>
      </c>
      <c r="D23" s="8" t="s">
        <v>132</v>
      </c>
      <c r="E23" s="10"/>
      <c r="F23" s="9" t="s">
        <v>133</v>
      </c>
    </row>
    <row r="24" spans="1:6" ht="42" customHeight="1" x14ac:dyDescent="0.3">
      <c r="A24" s="15">
        <v>20</v>
      </c>
      <c r="B24" s="16" t="s">
        <v>134</v>
      </c>
      <c r="C24" s="9" t="s">
        <v>135</v>
      </c>
      <c r="D24" s="8" t="s">
        <v>136</v>
      </c>
      <c r="E24" s="10"/>
      <c r="F24" s="9" t="s">
        <v>137</v>
      </c>
    </row>
    <row r="25" spans="1:6" ht="42" customHeight="1" x14ac:dyDescent="0.3">
      <c r="A25" s="15">
        <v>21</v>
      </c>
      <c r="B25" s="16" t="s">
        <v>138</v>
      </c>
      <c r="C25" s="9" t="s">
        <v>139</v>
      </c>
      <c r="D25" s="8" t="s">
        <v>140</v>
      </c>
      <c r="E25" s="10"/>
      <c r="F25" s="9" t="s">
        <v>133</v>
      </c>
    </row>
    <row r="26" spans="1:6" ht="42" customHeight="1" x14ac:dyDescent="0.3">
      <c r="A26" s="15">
        <v>22</v>
      </c>
      <c r="B26" s="16" t="s">
        <v>141</v>
      </c>
      <c r="C26" s="9" t="s">
        <v>142</v>
      </c>
      <c r="D26" s="8" t="s">
        <v>143</v>
      </c>
      <c r="E26" s="10"/>
      <c r="F26" s="9" t="s">
        <v>144</v>
      </c>
    </row>
  </sheetData>
  <dataValidations count="1">
    <dataValidation type="list" sqref="D14" xr:uid="{00000000-0002-0000-0200-000001000000}">
      <formula1>"FP16,FP8,INT8,INT4"</formula1>
    </dataValidation>
  </dataValidations>
  <pageMargins left="0.75" right="0.75" top="1" bottom="1" header="0.5" footer="0.5"/>
  <extLst>
    <ext xmlns:x14="http://schemas.microsoft.com/office/spreadsheetml/2009/9/main" uri="{CCE6A557-97BC-4b89-ADB6-D9C93CAAB3DF}">
      <x14:dataValidations xmlns:xm="http://schemas.microsoft.com/office/excel/2006/main" count="1">
        <x14:dataValidation type="list" xr:uid="{00000000-0002-0000-0200-000000000000}">
          <x14:formula1>
            <xm:f>'Model library'!$A$5:$A$16</xm:f>
          </x14:formula1>
          <xm:sqref>D13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E242C"/>
  </sheetPr>
  <dimension ref="A1:H114"/>
  <sheetViews>
    <sheetView showGridLines="0" workbookViewId="0">
      <pane ySplit="3" topLeftCell="A4" activePane="bottomLeft" state="frozen"/>
      <selection pane="bottomLeft"/>
    </sheetView>
  </sheetViews>
  <sheetFormatPr defaultRowHeight="14.4" x14ac:dyDescent="0.3"/>
  <cols>
    <col min="1" max="1" width="48" customWidth="1"/>
    <col min="2" max="2" width="20" customWidth="1"/>
    <col min="3" max="3" width="16" customWidth="1"/>
    <col min="4" max="4" width="64" customWidth="1"/>
    <col min="5" max="5" width="14" customWidth="1"/>
    <col min="6" max="6" width="22" customWidth="1"/>
    <col min="7" max="8" width="18" customWidth="1"/>
  </cols>
  <sheetData>
    <row r="1" spans="1:4" ht="21" x14ac:dyDescent="0.4">
      <c r="A1" s="1" t="s">
        <v>145</v>
      </c>
    </row>
    <row r="2" spans="1:4" x14ac:dyDescent="0.3">
      <c r="A2" s="6" t="s">
        <v>146</v>
      </c>
    </row>
    <row r="4" spans="1:4" ht="15.6" x14ac:dyDescent="0.3">
      <c r="A4" s="12" t="s">
        <v>147</v>
      </c>
    </row>
    <row r="5" spans="1:4" x14ac:dyDescent="0.3">
      <c r="A5" s="10" t="s">
        <v>148</v>
      </c>
      <c r="B5" s="20">
        <f>'1 Discovery'!$D$5</f>
        <v>50</v>
      </c>
      <c r="C5" s="9"/>
      <c r="D5" s="9"/>
    </row>
    <row r="6" spans="1:4" x14ac:dyDescent="0.3">
      <c r="A6" s="10" t="s">
        <v>149</v>
      </c>
      <c r="B6" s="20">
        <f>'1 Discovery'!$D$6</f>
        <v>20</v>
      </c>
      <c r="C6" s="9"/>
      <c r="D6" s="9"/>
    </row>
    <row r="7" spans="1:4" x14ac:dyDescent="0.3">
      <c r="A7" s="10" t="s">
        <v>150</v>
      </c>
      <c r="B7" s="20">
        <f>'1 Discovery'!$D$8</f>
        <v>2000</v>
      </c>
      <c r="C7" s="9"/>
      <c r="D7" s="9"/>
    </row>
    <row r="8" spans="1:4" x14ac:dyDescent="0.3">
      <c r="A8" s="10" t="s">
        <v>151</v>
      </c>
      <c r="B8" s="20">
        <f>'1 Discovery'!$D$9</f>
        <v>3000</v>
      </c>
      <c r="C8" s="9"/>
      <c r="D8" s="9"/>
    </row>
    <row r="9" spans="1:4" x14ac:dyDescent="0.3">
      <c r="A9" s="10" t="s">
        <v>152</v>
      </c>
      <c r="B9" s="20">
        <f>'1 Discovery'!$D$10</f>
        <v>500</v>
      </c>
      <c r="C9" s="9"/>
      <c r="D9" s="9"/>
    </row>
    <row r="10" spans="1:4" x14ac:dyDescent="0.3">
      <c r="A10" s="10" t="s">
        <v>153</v>
      </c>
      <c r="B10" s="20">
        <f>'1 Discovery'!$D$11</f>
        <v>16000</v>
      </c>
      <c r="C10" s="9"/>
      <c r="D10" s="9"/>
    </row>
    <row r="11" spans="1:4" x14ac:dyDescent="0.3">
      <c r="A11" s="10" t="s">
        <v>154</v>
      </c>
      <c r="B11" s="21">
        <f>'1 Discovery'!$D$12</f>
        <v>30</v>
      </c>
      <c r="C11" s="9" t="s">
        <v>155</v>
      </c>
      <c r="D11" s="9"/>
    </row>
    <row r="12" spans="1:4" x14ac:dyDescent="0.3">
      <c r="A12" s="10" t="s">
        <v>156</v>
      </c>
      <c r="B12" s="22" t="str">
        <f>'1 Discovery'!$D$13</f>
        <v>Llama-3.3-70B-Instruct</v>
      </c>
      <c r="C12" s="9"/>
      <c r="D12" s="9" t="s">
        <v>157</v>
      </c>
    </row>
    <row r="13" spans="1:4" x14ac:dyDescent="0.3">
      <c r="A13" s="10" t="s">
        <v>158</v>
      </c>
      <c r="B13" s="22" t="str">
        <f>'1 Discovery'!$D$14</f>
        <v>INT4</v>
      </c>
      <c r="C13" s="9"/>
      <c r="D13" s="9" t="s">
        <v>157</v>
      </c>
    </row>
    <row r="14" spans="1:4" x14ac:dyDescent="0.3">
      <c r="A14" s="10" t="s">
        <v>159</v>
      </c>
      <c r="B14" s="23">
        <f>'1 Discovery'!$D$20</f>
        <v>2</v>
      </c>
      <c r="C14" s="9"/>
      <c r="D14" s="9" t="s">
        <v>160</v>
      </c>
    </row>
    <row r="16" spans="1:4" ht="15.6" x14ac:dyDescent="0.3">
      <c r="A16" s="12" t="s">
        <v>161</v>
      </c>
    </row>
    <row r="17" spans="1:4" x14ac:dyDescent="0.3">
      <c r="A17" s="10" t="s">
        <v>162</v>
      </c>
      <c r="B17" s="24">
        <v>1.1000000000000001</v>
      </c>
      <c r="C17" s="9" t="s">
        <v>163</v>
      </c>
      <c r="D17" s="9" t="s">
        <v>164</v>
      </c>
    </row>
    <row r="18" spans="1:4" x14ac:dyDescent="0.3">
      <c r="A18" s="10" t="s">
        <v>165</v>
      </c>
      <c r="B18" s="8" t="s">
        <v>166</v>
      </c>
      <c r="C18" s="9"/>
      <c r="D18" s="9" t="s">
        <v>167</v>
      </c>
    </row>
    <row r="19" spans="1:4" x14ac:dyDescent="0.3">
      <c r="A19" s="10" t="s">
        <v>168</v>
      </c>
      <c r="B19" s="17">
        <v>2</v>
      </c>
      <c r="C19" s="9" t="s">
        <v>169</v>
      </c>
      <c r="D19" s="9" t="s">
        <v>170</v>
      </c>
    </row>
    <row r="20" spans="1:4" x14ac:dyDescent="0.3">
      <c r="A20" s="10" t="s">
        <v>171</v>
      </c>
      <c r="B20" s="8" t="s">
        <v>172</v>
      </c>
      <c r="C20" s="9"/>
      <c r="D20" s="9" t="s">
        <v>173</v>
      </c>
    </row>
    <row r="21" spans="1:4" ht="22.8" x14ac:dyDescent="0.3">
      <c r="A21" s="10" t="s">
        <v>174</v>
      </c>
      <c r="B21" s="8" t="s">
        <v>114</v>
      </c>
      <c r="C21" s="9"/>
      <c r="D21" s="9" t="s">
        <v>175</v>
      </c>
    </row>
    <row r="22" spans="1:4" ht="34.200000000000003" x14ac:dyDescent="0.3">
      <c r="A22" s="10" t="s">
        <v>176</v>
      </c>
      <c r="B22" s="18">
        <v>250</v>
      </c>
      <c r="C22" s="9" t="s">
        <v>177</v>
      </c>
      <c r="D22" s="9" t="s">
        <v>178</v>
      </c>
    </row>
    <row r="23" spans="1:4" x14ac:dyDescent="0.3">
      <c r="A23" s="10" t="s">
        <v>179</v>
      </c>
      <c r="B23" s="25">
        <v>0.3</v>
      </c>
      <c r="C23" s="9"/>
      <c r="D23" s="9" t="s">
        <v>180</v>
      </c>
    </row>
    <row r="24" spans="1:4" x14ac:dyDescent="0.3">
      <c r="A24" s="10" t="s">
        <v>181</v>
      </c>
      <c r="B24" s="17">
        <v>768</v>
      </c>
      <c r="C24" s="9"/>
      <c r="D24" s="9" t="s">
        <v>182</v>
      </c>
    </row>
    <row r="25" spans="1:4" x14ac:dyDescent="0.3">
      <c r="A25" s="10" t="s">
        <v>183</v>
      </c>
      <c r="B25" s="26">
        <v>2</v>
      </c>
      <c r="C25" s="9"/>
      <c r="D25" s="9" t="s">
        <v>184</v>
      </c>
    </row>
    <row r="26" spans="1:4" x14ac:dyDescent="0.3">
      <c r="A26" s="10" t="s">
        <v>185</v>
      </c>
      <c r="B26" s="18">
        <v>2000</v>
      </c>
      <c r="C26" s="9" t="s">
        <v>186</v>
      </c>
      <c r="D26" s="9"/>
    </row>
    <row r="27" spans="1:4" x14ac:dyDescent="0.3">
      <c r="A27" s="10" t="s">
        <v>187</v>
      </c>
      <c r="B27" s="26">
        <v>1.5</v>
      </c>
      <c r="C27" s="9" t="s">
        <v>163</v>
      </c>
      <c r="D27" s="9" t="s">
        <v>188</v>
      </c>
    </row>
    <row r="28" spans="1:4" x14ac:dyDescent="0.3">
      <c r="A28" s="10" t="s">
        <v>189</v>
      </c>
      <c r="B28" s="17">
        <v>3</v>
      </c>
      <c r="C28" s="9"/>
      <c r="D28" s="9" t="s">
        <v>190</v>
      </c>
    </row>
    <row r="29" spans="1:4" x14ac:dyDescent="0.3">
      <c r="A29" s="10" t="s">
        <v>191</v>
      </c>
      <c r="B29" s="17">
        <v>90</v>
      </c>
      <c r="C29" s="9" t="s">
        <v>192</v>
      </c>
      <c r="D29" s="9"/>
    </row>
    <row r="30" spans="1:4" x14ac:dyDescent="0.3">
      <c r="A30" s="10" t="s">
        <v>193</v>
      </c>
      <c r="B30" s="18">
        <v>500</v>
      </c>
      <c r="C30" s="9" t="s">
        <v>194</v>
      </c>
      <c r="D30" s="9" t="s">
        <v>195</v>
      </c>
    </row>
    <row r="31" spans="1:4" x14ac:dyDescent="0.3">
      <c r="A31" s="10" t="s">
        <v>196</v>
      </c>
      <c r="B31" s="17">
        <v>8</v>
      </c>
      <c r="C31" s="9"/>
      <c r="D31" s="9" t="s">
        <v>197</v>
      </c>
    </row>
    <row r="33" spans="1:4" ht="15.6" x14ac:dyDescent="0.3">
      <c r="A33" s="12" t="s">
        <v>198</v>
      </c>
    </row>
    <row r="34" spans="1:4" x14ac:dyDescent="0.3">
      <c r="A34" s="10" t="s">
        <v>199</v>
      </c>
      <c r="B34" s="27">
        <f>INDEX('Model library'!$A$5:$G$16,MATCH($B$12,'Model library'!$A$5:$A$16,0),2)</f>
        <v>70</v>
      </c>
      <c r="C34" s="9"/>
      <c r="D34" s="9"/>
    </row>
    <row r="35" spans="1:4" x14ac:dyDescent="0.3">
      <c r="A35" s="10" t="s">
        <v>200</v>
      </c>
      <c r="B35" s="28">
        <f>INDEX('Model library'!$A$5:$G$16,MATCH($B$12,'Model library'!$A$5:$A$16,0),3)</f>
        <v>80</v>
      </c>
      <c r="C35" s="9"/>
      <c r="D35" s="9"/>
    </row>
    <row r="36" spans="1:4" x14ac:dyDescent="0.3">
      <c r="A36" s="10" t="s">
        <v>201</v>
      </c>
      <c r="B36" s="28">
        <f>INDEX('Model library'!$A$5:$G$16,MATCH($B$12,'Model library'!$A$5:$A$16,0),4)</f>
        <v>8</v>
      </c>
      <c r="C36" s="9"/>
      <c r="D36" s="9"/>
    </row>
    <row r="37" spans="1:4" x14ac:dyDescent="0.3">
      <c r="A37" s="10" t="s">
        <v>202</v>
      </c>
      <c r="B37" s="28">
        <f>INDEX('Model library'!$A$5:$G$16,MATCH($B$12,'Model library'!$A$5:$A$16,0),5)</f>
        <v>128</v>
      </c>
      <c r="C37" s="9"/>
      <c r="D37" s="9"/>
    </row>
    <row r="38" spans="1:4" x14ac:dyDescent="0.3">
      <c r="A38" s="10" t="s">
        <v>203</v>
      </c>
      <c r="B38" s="27">
        <f>IF($B$13="FP16",2,IF($B$13="FP8",1,IF($B$13="INT8",1,0.5)))</f>
        <v>0.5</v>
      </c>
      <c r="C38" s="9"/>
      <c r="D38" s="9" t="s">
        <v>204</v>
      </c>
    </row>
    <row r="39" spans="1:4" x14ac:dyDescent="0.3">
      <c r="A39" s="10" t="s">
        <v>205</v>
      </c>
      <c r="B39" s="28">
        <f>IF($B$18="FP8",1,2)</f>
        <v>2</v>
      </c>
      <c r="C39" s="9"/>
      <c r="D39" s="9"/>
    </row>
    <row r="40" spans="1:4" x14ac:dyDescent="0.3">
      <c r="A40" s="10" t="s">
        <v>206</v>
      </c>
      <c r="B40" s="28">
        <f>INDEX('GPU library'!$A$5:$G$15,MATCH($B$20,'GPU library'!$A$5:$A$15,0),2)</f>
        <v>48</v>
      </c>
      <c r="C40" s="9"/>
      <c r="D40" s="9"/>
    </row>
    <row r="41" spans="1:4" x14ac:dyDescent="0.3">
      <c r="A41" s="10" t="s">
        <v>207</v>
      </c>
      <c r="B41" s="29">
        <f>INDEX('GPU library'!$A$5:$G$15,MATCH($B$20,'GPU library'!$A$5:$A$15,0),3)</f>
        <v>350</v>
      </c>
      <c r="C41" s="9"/>
      <c r="D41" s="9"/>
    </row>
    <row r="42" spans="1:4" x14ac:dyDescent="0.3">
      <c r="A42" s="10" t="str">
        <f>"Card indicative price ("&amp;Settings!$B$4&amp;")"</f>
        <v>Card indicative price (INR)</v>
      </c>
      <c r="B42" s="29">
        <f>INDEX('GPU library'!$A$5:$G$15,MATCH($B$20,'GPU library'!$A$5:$A$15,0),5)</f>
        <v>850000</v>
      </c>
      <c r="C42" s="9"/>
      <c r="D42" s="9" t="s">
        <v>208</v>
      </c>
    </row>
    <row r="44" spans="1:4" ht="15.6" x14ac:dyDescent="0.3">
      <c r="A44" s="12" t="s">
        <v>209</v>
      </c>
    </row>
    <row r="45" spans="1:4" x14ac:dyDescent="0.3">
      <c r="A45" s="10" t="s">
        <v>210</v>
      </c>
      <c r="B45" s="29">
        <f>$B$7*($B$8+$B$9)</f>
        <v>7000000</v>
      </c>
      <c r="C45" s="9"/>
      <c r="D45" s="9" t="s">
        <v>211</v>
      </c>
    </row>
    <row r="46" spans="1:4" x14ac:dyDescent="0.3">
      <c r="A46" s="10" t="s">
        <v>212</v>
      </c>
      <c r="B46" s="29">
        <f>$B$45*22</f>
        <v>154000000</v>
      </c>
      <c r="C46" s="9"/>
      <c r="D46" s="9"/>
    </row>
    <row r="47" spans="1:4" x14ac:dyDescent="0.3">
      <c r="A47" s="10" t="s">
        <v>213</v>
      </c>
      <c r="B47" s="29">
        <f>$B$45*$B$14</f>
        <v>14000000</v>
      </c>
      <c r="C47" s="9"/>
      <c r="D47" s="9"/>
    </row>
    <row r="49" spans="1:4" ht="15.6" x14ac:dyDescent="0.3">
      <c r="A49" s="12" t="s">
        <v>214</v>
      </c>
    </row>
    <row r="50" spans="1:4" x14ac:dyDescent="0.3">
      <c r="A50" s="10" t="s">
        <v>215</v>
      </c>
      <c r="B50" s="27">
        <f>$B$34*$B$38</f>
        <v>35</v>
      </c>
      <c r="C50" s="9"/>
      <c r="D50" s="9" t="s">
        <v>216</v>
      </c>
    </row>
    <row r="51" spans="1:4" x14ac:dyDescent="0.3">
      <c r="A51" s="7" t="s">
        <v>217</v>
      </c>
      <c r="B51" s="30">
        <f>$B$50*$B$17</f>
        <v>38.5</v>
      </c>
      <c r="C51" s="9"/>
      <c r="D51" s="9" t="s">
        <v>218</v>
      </c>
    </row>
    <row r="53" spans="1:4" ht="15.6" x14ac:dyDescent="0.3">
      <c r="A53" s="12" t="s">
        <v>219</v>
      </c>
    </row>
    <row r="54" spans="1:4" x14ac:dyDescent="0.3">
      <c r="A54" s="10" t="s">
        <v>220</v>
      </c>
      <c r="B54" s="27">
        <f>2*$B$35*$B$36*$B$37*$B$39/1024</f>
        <v>320</v>
      </c>
      <c r="C54" s="9"/>
      <c r="D54" s="9" t="s">
        <v>221</v>
      </c>
    </row>
    <row r="55" spans="1:4" x14ac:dyDescent="0.3">
      <c r="A55" s="10" t="s">
        <v>222</v>
      </c>
      <c r="B55" s="29">
        <f>$B$8+$B$9</f>
        <v>3500</v>
      </c>
      <c r="C55" s="9"/>
      <c r="D55" s="9"/>
    </row>
    <row r="56" spans="1:4" x14ac:dyDescent="0.3">
      <c r="A56" s="10" t="s">
        <v>223</v>
      </c>
      <c r="B56" s="31">
        <f>$B$54*$B$55/1024/1024</f>
        <v>1.068115234375</v>
      </c>
      <c r="C56" s="9"/>
      <c r="D56" s="9"/>
    </row>
    <row r="57" spans="1:4" x14ac:dyDescent="0.3">
      <c r="A57" s="10" t="s">
        <v>224</v>
      </c>
      <c r="B57" s="31">
        <f>$B$54*$B$10/1024/1024</f>
        <v>4.8828125</v>
      </c>
      <c r="C57" s="9"/>
      <c r="D57" s="9"/>
    </row>
    <row r="58" spans="1:4" x14ac:dyDescent="0.3">
      <c r="A58" s="7" t="s">
        <v>225</v>
      </c>
      <c r="B58" s="30">
        <f>$B$56*$B$6</f>
        <v>21.3623046875</v>
      </c>
      <c r="C58" s="9"/>
      <c r="D58" s="9" t="s">
        <v>226</v>
      </c>
    </row>
    <row r="59" spans="1:4" x14ac:dyDescent="0.3">
      <c r="A59" s="10" t="s">
        <v>227</v>
      </c>
      <c r="B59" s="27">
        <f>$B$56*$B$6*$B$14</f>
        <v>42.724609375</v>
      </c>
      <c r="C59" s="9"/>
      <c r="D59" s="9"/>
    </row>
    <row r="61" spans="1:4" ht="15.6" x14ac:dyDescent="0.3">
      <c r="A61" s="12" t="s">
        <v>228</v>
      </c>
    </row>
    <row r="62" spans="1:4" x14ac:dyDescent="0.3">
      <c r="A62" s="7" t="s">
        <v>229</v>
      </c>
      <c r="B62" s="30">
        <f>$B$51+$B$58+$B$19</f>
        <v>61.8623046875</v>
      </c>
      <c r="C62" s="9"/>
      <c r="D62" s="9" t="s">
        <v>230</v>
      </c>
    </row>
    <row r="63" spans="1:4" x14ac:dyDescent="0.3">
      <c r="A63" s="10" t="s">
        <v>231</v>
      </c>
      <c r="B63" s="27">
        <f>$B$51+$B$59+$B$19</f>
        <v>83.224609375</v>
      </c>
      <c r="C63" s="9"/>
      <c r="D63" s="9"/>
    </row>
    <row r="64" spans="1:4" x14ac:dyDescent="0.3">
      <c r="A64" s="10" t="s">
        <v>232</v>
      </c>
      <c r="B64" s="28">
        <f>CEILING($B$62/$B$40,1)</f>
        <v>2</v>
      </c>
      <c r="C64" s="9"/>
      <c r="D64" s="9" t="s">
        <v>233</v>
      </c>
    </row>
    <row r="65" spans="1:4" x14ac:dyDescent="0.3">
      <c r="A65" s="7" t="s">
        <v>234</v>
      </c>
      <c r="B65" s="32">
        <f>IF($B$64&lt;=1,1,IF($B$64&lt;=2,2,IF($B$64&lt;=4,4,8)))</f>
        <v>2</v>
      </c>
      <c r="C65" s="9"/>
      <c r="D65" s="9" t="s">
        <v>235</v>
      </c>
    </row>
    <row r="66" spans="1:4" ht="22.8" x14ac:dyDescent="0.3">
      <c r="A66" s="10" t="s">
        <v>236</v>
      </c>
      <c r="B66" s="28">
        <f>CEILING($B$64/$B$31,1)</f>
        <v>1</v>
      </c>
      <c r="C66" s="9"/>
      <c r="D66" s="9" t="s">
        <v>237</v>
      </c>
    </row>
    <row r="67" spans="1:4" x14ac:dyDescent="0.3">
      <c r="A67" s="10" t="s">
        <v>238</v>
      </c>
      <c r="B67" s="28">
        <f>$B$65*$B$40*$B$66</f>
        <v>96</v>
      </c>
      <c r="C67" s="9"/>
      <c r="D67" s="9"/>
    </row>
    <row r="68" spans="1:4" x14ac:dyDescent="0.3">
      <c r="A68" s="10" t="s">
        <v>239</v>
      </c>
      <c r="B68" s="27">
        <f>$B$67-$B$51-$B$19</f>
        <v>55.5</v>
      </c>
      <c r="C68" s="9"/>
      <c r="D68" s="9"/>
    </row>
    <row r="69" spans="1:4" ht="26.4" x14ac:dyDescent="0.3">
      <c r="A69" s="7" t="s">
        <v>240</v>
      </c>
      <c r="B69" s="33">
        <f>IF($B$56&gt;0,INT($B$68/$B$56),0)</f>
        <v>51</v>
      </c>
      <c r="C69" s="9"/>
      <c r="D69" s="9" t="s">
        <v>241</v>
      </c>
    </row>
    <row r="70" spans="1:4" x14ac:dyDescent="0.3">
      <c r="A70" s="10" t="s">
        <v>242</v>
      </c>
      <c r="B70" s="29">
        <f>IF($B$57&gt;0,INT($B$68/$B$57),0)</f>
        <v>11</v>
      </c>
      <c r="C70" s="9"/>
      <c r="D70" s="9"/>
    </row>
    <row r="71" spans="1:4" x14ac:dyDescent="0.3">
      <c r="A71" s="7" t="s">
        <v>243</v>
      </c>
      <c r="B71" s="34" t="str">
        <f>IF($B$69&gt;=$B$6*$B$14,"Fits with growth",IF($B$69&gt;=$B$6,"Fits today, not at growth","Does not fit - add cards or shrink model"))</f>
        <v>Fits with growth</v>
      </c>
      <c r="C71" s="9"/>
      <c r="D71" s="9"/>
    </row>
    <row r="73" spans="1:4" ht="15.6" x14ac:dyDescent="0.3">
      <c r="A73" s="12" t="s">
        <v>244</v>
      </c>
    </row>
    <row r="74" spans="1:4" x14ac:dyDescent="0.3">
      <c r="A74" s="10" t="s">
        <v>245</v>
      </c>
      <c r="B74" s="29">
        <f>$B$6*$B$9/$B$11</f>
        <v>333.33333333333331</v>
      </c>
      <c r="C74" s="9"/>
      <c r="D74" s="9" t="s">
        <v>246</v>
      </c>
    </row>
    <row r="75" spans="1:4" x14ac:dyDescent="0.3">
      <c r="A75" s="10" t="s">
        <v>247</v>
      </c>
      <c r="B75" s="29">
        <f>$B$74*(1+$B$23)</f>
        <v>433.33333333333331</v>
      </c>
      <c r="C75" s="9"/>
      <c r="D75" s="9"/>
    </row>
    <row r="76" spans="1:4" x14ac:dyDescent="0.3">
      <c r="A76" s="10" t="s">
        <v>248</v>
      </c>
      <c r="B76" s="29">
        <f>$B$22*$B$65*$B$66</f>
        <v>500</v>
      </c>
      <c r="C76" s="9"/>
      <c r="D76" s="9" t="s">
        <v>249</v>
      </c>
    </row>
    <row r="77" spans="1:4" x14ac:dyDescent="0.3">
      <c r="A77" s="7" t="s">
        <v>250</v>
      </c>
      <c r="B77" s="34" t="str">
        <f>IF($B$76&gt;=$B$75,"OK","Short - add GPUs, reduce model, or relax latency")</f>
        <v>OK</v>
      </c>
      <c r="C77" s="9"/>
      <c r="D77" s="9"/>
    </row>
    <row r="78" spans="1:4" x14ac:dyDescent="0.3">
      <c r="A78" s="10" t="s">
        <v>251</v>
      </c>
      <c r="B78" s="28">
        <f>CEILING($B$75/$B$22,1)</f>
        <v>2</v>
      </c>
      <c r="C78" s="9"/>
      <c r="D78" s="9"/>
    </row>
    <row r="79" spans="1:4" x14ac:dyDescent="0.3">
      <c r="A79" s="7" t="s">
        <v>252</v>
      </c>
      <c r="B79" s="32">
        <f>MAX($B$65*$B$66,$B$78)</f>
        <v>2</v>
      </c>
      <c r="C79" s="9"/>
      <c r="D79" s="9"/>
    </row>
    <row r="80" spans="1:4" x14ac:dyDescent="0.3">
      <c r="A80" s="10" t="s">
        <v>253</v>
      </c>
      <c r="B80" s="28">
        <f>CEILING($B$79/$B$31,1)</f>
        <v>1</v>
      </c>
      <c r="C80" s="9"/>
      <c r="D80" s="9"/>
    </row>
    <row r="81" spans="1:4" x14ac:dyDescent="0.3">
      <c r="A81" s="7" t="s">
        <v>254</v>
      </c>
      <c r="B81" s="32">
        <f>$B$80+IF($B$21="Yes",1,0)</f>
        <v>1</v>
      </c>
      <c r="C81" s="9"/>
      <c r="D81" s="9"/>
    </row>
    <row r="82" spans="1:4" x14ac:dyDescent="0.3">
      <c r="A82" s="7" t="s">
        <v>255</v>
      </c>
      <c r="B82" s="32">
        <f>$B$79+IF($B$21="Yes",$B$65,0)</f>
        <v>2</v>
      </c>
      <c r="C82" s="9"/>
      <c r="D82" s="9"/>
    </row>
    <row r="84" spans="1:4" ht="15.6" x14ac:dyDescent="0.3">
      <c r="A84" s="12" t="s">
        <v>256</v>
      </c>
    </row>
    <row r="85" spans="1:4" x14ac:dyDescent="0.3">
      <c r="A85" s="10" t="s">
        <v>257</v>
      </c>
      <c r="B85" s="20">
        <f>'1 Discovery'!$D$18*'1 Discovery'!$D$19*$B$25</f>
        <v>600000</v>
      </c>
      <c r="C85" s="9"/>
      <c r="D85" s="9"/>
    </row>
    <row r="86" spans="1:4" x14ac:dyDescent="0.3">
      <c r="A86" s="10" t="s">
        <v>258</v>
      </c>
      <c r="B86" s="27">
        <f>$B$85*($B$24*4+$B$26)*$B$27/1024/1024/1024</f>
        <v>4.2513012886047363</v>
      </c>
      <c r="C86" s="9"/>
      <c r="D86" s="9" t="s">
        <v>259</v>
      </c>
    </row>
    <row r="87" spans="1:4" x14ac:dyDescent="0.3">
      <c r="A87" s="10" t="s">
        <v>260</v>
      </c>
      <c r="B87" s="35">
        <f>'1 Discovery'!$D$18*5/1024</f>
        <v>4.8828125</v>
      </c>
      <c r="C87" s="9"/>
      <c r="D87" s="9"/>
    </row>
    <row r="88" spans="1:4" x14ac:dyDescent="0.3">
      <c r="A88" s="10" t="s">
        <v>261</v>
      </c>
      <c r="B88" s="28">
        <f>$B$50*$B$28</f>
        <v>105</v>
      </c>
      <c r="C88" s="9"/>
      <c r="D88" s="9" t="s">
        <v>262</v>
      </c>
    </row>
    <row r="89" spans="1:4" x14ac:dyDescent="0.3">
      <c r="A89" s="10" t="s">
        <v>263</v>
      </c>
      <c r="B89" s="27">
        <f>$B$7*($B$8+$B$9)*4*$B$29/1024/1024/1024</f>
        <v>2.3469328880310059</v>
      </c>
      <c r="C89" s="9"/>
      <c r="D89" s="9" t="s">
        <v>264</v>
      </c>
    </row>
    <row r="90" spans="1:4" x14ac:dyDescent="0.3">
      <c r="A90" s="10" t="s">
        <v>265</v>
      </c>
      <c r="B90" s="28">
        <f>2*($B$86+$B$87+$B$89+10)+$B$50</f>
        <v>77.962093353271484</v>
      </c>
      <c r="C90" s="9"/>
      <c r="D90" s="9" t="s">
        <v>266</v>
      </c>
    </row>
    <row r="91" spans="1:4" ht="22.8" x14ac:dyDescent="0.3">
      <c r="A91" s="7" t="s">
        <v>267</v>
      </c>
      <c r="B91" s="36">
        <f>MAX(1.92,CEILING(($B$88+$B$86+$B$87+$B$89+100)*2/1000,0.5))</f>
        <v>1.92</v>
      </c>
      <c r="C91" s="9"/>
      <c r="D91" s="9" t="s">
        <v>268</v>
      </c>
    </row>
    <row r="93" spans="1:4" ht="15.6" x14ac:dyDescent="0.3">
      <c r="A93" s="12" t="s">
        <v>269</v>
      </c>
    </row>
    <row r="94" spans="1:4" ht="22.8" x14ac:dyDescent="0.3">
      <c r="A94" s="7" t="s">
        <v>270</v>
      </c>
      <c r="B94" s="33">
        <f>MAX(128,CEILING(($B$50*$B$65/$B$65*1.5+64)/64,1)*64)</f>
        <v>128</v>
      </c>
      <c r="C94" s="9"/>
      <c r="D94" s="9" t="s">
        <v>271</v>
      </c>
    </row>
    <row r="95" spans="1:4" ht="22.8" x14ac:dyDescent="0.3">
      <c r="A95" s="10" t="s">
        <v>272</v>
      </c>
      <c r="B95" s="28">
        <f>32</f>
        <v>32</v>
      </c>
      <c r="C95" s="9"/>
      <c r="D95" s="9" t="s">
        <v>273</v>
      </c>
    </row>
    <row r="96" spans="1:4" x14ac:dyDescent="0.3">
      <c r="A96" s="10" t="s">
        <v>274</v>
      </c>
      <c r="B96" s="10" t="str">
        <f>"2 x 25 GbE"</f>
        <v>2 x 25 GbE</v>
      </c>
      <c r="C96" s="9"/>
      <c r="D96" s="9" t="s">
        <v>275</v>
      </c>
    </row>
    <row r="97" spans="1:8" x14ac:dyDescent="0.3">
      <c r="A97" s="7" t="s">
        <v>276</v>
      </c>
      <c r="B97" s="36">
        <f>($B$41*$B$65+$B$30)/1000</f>
        <v>1.2</v>
      </c>
      <c r="C97" s="9"/>
      <c r="D97" s="9"/>
    </row>
    <row r="98" spans="1:8" x14ac:dyDescent="0.3">
      <c r="A98" s="10" t="s">
        <v>277</v>
      </c>
      <c r="B98" s="31">
        <f>$B$97*$B$81</f>
        <v>1.2</v>
      </c>
      <c r="C98" s="9"/>
      <c r="D98" s="9"/>
    </row>
    <row r="99" spans="1:8" x14ac:dyDescent="0.3">
      <c r="A99" s="10" t="s">
        <v>278</v>
      </c>
      <c r="B99" s="29">
        <f>$B$98*8760</f>
        <v>10512</v>
      </c>
      <c r="C99" s="9"/>
      <c r="D99" s="9"/>
    </row>
    <row r="100" spans="1:8" x14ac:dyDescent="0.3">
      <c r="A100" s="10" t="s">
        <v>279</v>
      </c>
      <c r="B100" s="28">
        <f>IF($B$65&lt;=4,2,8)*$B$81</f>
        <v>2</v>
      </c>
      <c r="C100" s="9"/>
      <c r="D100" s="9" t="s">
        <v>280</v>
      </c>
    </row>
    <row r="102" spans="1:8" ht="15.6" x14ac:dyDescent="0.3">
      <c r="A102" s="12" t="s">
        <v>281</v>
      </c>
    </row>
    <row r="103" spans="1:8" ht="30" customHeight="1" x14ac:dyDescent="0.3">
      <c r="A103" s="13" t="s">
        <v>282</v>
      </c>
      <c r="B103" s="13" t="s">
        <v>283</v>
      </c>
      <c r="C103" s="13" t="s">
        <v>284</v>
      </c>
      <c r="D103" s="13" t="s">
        <v>285</v>
      </c>
      <c r="E103" s="13" t="s">
        <v>286</v>
      </c>
      <c r="F103" s="13" t="s">
        <v>287</v>
      </c>
      <c r="G103" s="13" t="str">
        <f>"Cards indicative ("&amp;Settings!$B$4&amp;")"</f>
        <v>Cards indicative (INR)</v>
      </c>
      <c r="H103" s="13" t="s">
        <v>288</v>
      </c>
    </row>
    <row r="104" spans="1:8" x14ac:dyDescent="0.3">
      <c r="A104" s="22" t="str">
        <f>'GPU library'!A5</f>
        <v>NVIDIA L40S 48GB</v>
      </c>
      <c r="B104" s="21">
        <f>'GPU library'!B5</f>
        <v>48</v>
      </c>
      <c r="C104" s="28">
        <f t="shared" ref="C104:C113" si="0">CEILING($B$62/B104,1)</f>
        <v>2</v>
      </c>
      <c r="D104" s="28">
        <f t="shared" ref="D104:D113" si="1">IF(C104&lt;=1,1,IF(C104&lt;=2,2,IF(C104&lt;=4,4,8)))</f>
        <v>2</v>
      </c>
      <c r="E104" s="29">
        <f t="shared" ref="E104:E113" si="2">IF($B$56&gt;0,INT((D104*B104-$B$51-$B$19)/$B$56),0)</f>
        <v>51</v>
      </c>
      <c r="F104" s="37" t="str">
        <f t="shared" ref="F104:F113" si="3">IF(E104&gt;=$B$6,"Yes","No")</f>
        <v>Yes</v>
      </c>
      <c r="G104" s="29">
        <f>D104*'GPU library'!E5</f>
        <v>1700000</v>
      </c>
      <c r="H104" s="31">
        <f>D104*'GPU library'!C5/1000</f>
        <v>0.7</v>
      </c>
    </row>
    <row r="105" spans="1:8" x14ac:dyDescent="0.3">
      <c r="A105" s="22" t="str">
        <f>'GPU library'!A6</f>
        <v>NVIDIA RTX PRO 6000 Blackwell 96GB</v>
      </c>
      <c r="B105" s="21">
        <f>'GPU library'!B6</f>
        <v>96</v>
      </c>
      <c r="C105" s="28">
        <f t="shared" si="0"/>
        <v>1</v>
      </c>
      <c r="D105" s="28">
        <f t="shared" si="1"/>
        <v>1</v>
      </c>
      <c r="E105" s="29">
        <f t="shared" si="2"/>
        <v>51</v>
      </c>
      <c r="F105" s="37" t="str">
        <f t="shared" si="3"/>
        <v>Yes</v>
      </c>
      <c r="G105" s="29">
        <f>D105*'GPU library'!E6</f>
        <v>1000000</v>
      </c>
      <c r="H105" s="31">
        <f>D105*'GPU library'!C6/1000</f>
        <v>0.6</v>
      </c>
    </row>
    <row r="106" spans="1:8" x14ac:dyDescent="0.3">
      <c r="A106" s="22" t="str">
        <f>'GPU library'!A7</f>
        <v>NVIDIA RTX 6000 Ada 48GB</v>
      </c>
      <c r="B106" s="21">
        <f>'GPU library'!B7</f>
        <v>48</v>
      </c>
      <c r="C106" s="28">
        <f t="shared" si="0"/>
        <v>2</v>
      </c>
      <c r="D106" s="28">
        <f t="shared" si="1"/>
        <v>2</v>
      </c>
      <c r="E106" s="29">
        <f t="shared" si="2"/>
        <v>51</v>
      </c>
      <c r="F106" s="37" t="str">
        <f t="shared" si="3"/>
        <v>Yes</v>
      </c>
      <c r="G106" s="29">
        <f>D106*'GPU library'!E7</f>
        <v>1400000</v>
      </c>
      <c r="H106" s="31">
        <f>D106*'GPU library'!C7/1000</f>
        <v>0.6</v>
      </c>
    </row>
    <row r="107" spans="1:8" x14ac:dyDescent="0.3">
      <c r="A107" s="22" t="str">
        <f>'GPU library'!A8</f>
        <v>NVIDIA L4 24GB</v>
      </c>
      <c r="B107" s="21">
        <f>'GPU library'!B8</f>
        <v>24</v>
      </c>
      <c r="C107" s="28">
        <f t="shared" si="0"/>
        <v>3</v>
      </c>
      <c r="D107" s="28">
        <f t="shared" si="1"/>
        <v>4</v>
      </c>
      <c r="E107" s="29">
        <f t="shared" si="2"/>
        <v>51</v>
      </c>
      <c r="F107" s="37" t="str">
        <f t="shared" si="3"/>
        <v>Yes</v>
      </c>
      <c r="G107" s="29">
        <f>D107*'GPU library'!E8</f>
        <v>1200000</v>
      </c>
      <c r="H107" s="31">
        <f>D107*'GPU library'!C8/1000</f>
        <v>0.28799999999999998</v>
      </c>
    </row>
    <row r="108" spans="1:8" x14ac:dyDescent="0.3">
      <c r="A108" s="22" t="str">
        <f>'GPU library'!A9</f>
        <v>NVIDIA A100 80GB PCIe</v>
      </c>
      <c r="B108" s="21">
        <f>'GPU library'!B9</f>
        <v>80</v>
      </c>
      <c r="C108" s="28">
        <f t="shared" si="0"/>
        <v>1</v>
      </c>
      <c r="D108" s="28">
        <f t="shared" si="1"/>
        <v>1</v>
      </c>
      <c r="E108" s="29">
        <f t="shared" si="2"/>
        <v>36</v>
      </c>
      <c r="F108" s="37" t="str">
        <f t="shared" si="3"/>
        <v>Yes</v>
      </c>
      <c r="G108" s="29">
        <f>D108*'GPU library'!E9</f>
        <v>1200000</v>
      </c>
      <c r="H108" s="31">
        <f>D108*'GPU library'!C9/1000</f>
        <v>0.3</v>
      </c>
    </row>
    <row r="109" spans="1:8" x14ac:dyDescent="0.3">
      <c r="A109" s="22" t="str">
        <f>'GPU library'!A10</f>
        <v>NVIDIA H100 80GB PCIe</v>
      </c>
      <c r="B109" s="21">
        <f>'GPU library'!B10</f>
        <v>80</v>
      </c>
      <c r="C109" s="28">
        <f t="shared" si="0"/>
        <v>1</v>
      </c>
      <c r="D109" s="28">
        <f t="shared" si="1"/>
        <v>1</v>
      </c>
      <c r="E109" s="29">
        <f t="shared" si="2"/>
        <v>36</v>
      </c>
      <c r="F109" s="37" t="str">
        <f t="shared" si="3"/>
        <v>Yes</v>
      </c>
      <c r="G109" s="29">
        <f>D109*'GPU library'!E10</f>
        <v>2500000</v>
      </c>
      <c r="H109" s="31">
        <f>D109*'GPU library'!C10/1000</f>
        <v>0.35</v>
      </c>
    </row>
    <row r="110" spans="1:8" x14ac:dyDescent="0.3">
      <c r="A110" s="22" t="str">
        <f>'GPU library'!A11</f>
        <v>NVIDIA H100 80GB SXM</v>
      </c>
      <c r="B110" s="21">
        <f>'GPU library'!B11</f>
        <v>80</v>
      </c>
      <c r="C110" s="28">
        <f t="shared" si="0"/>
        <v>1</v>
      </c>
      <c r="D110" s="28">
        <f t="shared" si="1"/>
        <v>1</v>
      </c>
      <c r="E110" s="29">
        <f t="shared" si="2"/>
        <v>36</v>
      </c>
      <c r="F110" s="37" t="str">
        <f t="shared" si="3"/>
        <v>Yes</v>
      </c>
      <c r="G110" s="29">
        <f>D110*'GPU library'!E11</f>
        <v>3000000</v>
      </c>
      <c r="H110" s="31">
        <f>D110*'GPU library'!C11/1000</f>
        <v>0.7</v>
      </c>
    </row>
    <row r="111" spans="1:8" x14ac:dyDescent="0.3">
      <c r="A111" s="22" t="str">
        <f>'GPU library'!A12</f>
        <v>NVIDIA H200 141GB SXM</v>
      </c>
      <c r="B111" s="21">
        <f>'GPU library'!B12</f>
        <v>141</v>
      </c>
      <c r="C111" s="28">
        <f t="shared" si="0"/>
        <v>1</v>
      </c>
      <c r="D111" s="28">
        <f t="shared" si="1"/>
        <v>1</v>
      </c>
      <c r="E111" s="29">
        <f t="shared" si="2"/>
        <v>94</v>
      </c>
      <c r="F111" s="37" t="str">
        <f t="shared" si="3"/>
        <v>Yes</v>
      </c>
      <c r="G111" s="29">
        <f>D111*'GPU library'!E12</f>
        <v>3800000</v>
      </c>
      <c r="H111" s="31">
        <f>D111*'GPU library'!C12/1000</f>
        <v>0.7</v>
      </c>
    </row>
    <row r="112" spans="1:8" x14ac:dyDescent="0.3">
      <c r="A112" s="22" t="str">
        <f>'GPU library'!A13</f>
        <v>NVIDIA B200 180GB SXM</v>
      </c>
      <c r="B112" s="21">
        <f>'GPU library'!B13</f>
        <v>180</v>
      </c>
      <c r="C112" s="28">
        <f t="shared" si="0"/>
        <v>1</v>
      </c>
      <c r="D112" s="28">
        <f t="shared" si="1"/>
        <v>1</v>
      </c>
      <c r="E112" s="29">
        <f t="shared" si="2"/>
        <v>130</v>
      </c>
      <c r="F112" s="37" t="str">
        <f t="shared" si="3"/>
        <v>Yes</v>
      </c>
      <c r="G112" s="29">
        <f>D112*'GPU library'!E13</f>
        <v>5000000</v>
      </c>
      <c r="H112" s="31">
        <f>D112*'GPU library'!C13/1000</f>
        <v>1</v>
      </c>
    </row>
    <row r="113" spans="1:8" x14ac:dyDescent="0.3">
      <c r="A113" s="22" t="str">
        <f>'GPU library'!A14</f>
        <v>AMD Instinct MI300X 192GB</v>
      </c>
      <c r="B113" s="21">
        <f>'GPU library'!B14</f>
        <v>192</v>
      </c>
      <c r="C113" s="28">
        <f t="shared" si="0"/>
        <v>1</v>
      </c>
      <c r="D113" s="28">
        <f t="shared" si="1"/>
        <v>1</v>
      </c>
      <c r="E113" s="29">
        <f t="shared" si="2"/>
        <v>141</v>
      </c>
      <c r="F113" s="37" t="str">
        <f t="shared" si="3"/>
        <v>Yes</v>
      </c>
      <c r="G113" s="29">
        <f>D113*'GPU library'!E14</f>
        <v>2200000</v>
      </c>
      <c r="H113" s="31">
        <f>D113*'GPU library'!C14/1000</f>
        <v>0.75</v>
      </c>
    </row>
    <row r="114" spans="1:8" x14ac:dyDescent="0.3">
      <c r="A114" s="6" t="s">
        <v>289</v>
      </c>
    </row>
  </sheetData>
  <dataValidations count="2">
    <dataValidation type="list" sqref="B18" xr:uid="{00000000-0002-0000-0300-000000000000}">
      <formula1>"FP16,FP8"</formula1>
    </dataValidation>
    <dataValidation type="list" sqref="B21" xr:uid="{00000000-0002-0000-0300-000002000000}">
      <formula1>"Yes,No"</formula1>
    </dataValidation>
  </dataValidations>
  <pageMargins left="0.75" right="0.75" top="1" bottom="1" header="0.5" footer="0.5"/>
  <extLst>
    <ext xmlns:x14="http://schemas.microsoft.com/office/spreadsheetml/2009/9/main" uri="{CCE6A557-97BC-4b89-ADB6-D9C93CAAB3DF}">
      <x14:dataValidations xmlns:xm="http://schemas.microsoft.com/office/excel/2006/main" count="1">
        <x14:dataValidation type="list" xr:uid="{00000000-0002-0000-0300-000001000000}">
          <x14:formula1>
            <xm:f>'GPU library'!$A$5:$A$15</xm:f>
          </x14:formula1>
          <xm:sqref>B20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E242C"/>
  </sheetPr>
  <dimension ref="A1:H25"/>
  <sheetViews>
    <sheetView showGridLines="0" workbookViewId="0">
      <pane ySplit="4" topLeftCell="A5" activePane="bottomLeft" state="frozen"/>
      <selection pane="bottomLeft"/>
    </sheetView>
  </sheetViews>
  <sheetFormatPr defaultRowHeight="14.4" x14ac:dyDescent="0.3"/>
  <cols>
    <col min="1" max="1" width="8" customWidth="1"/>
    <col min="2" max="2" width="52" customWidth="1"/>
    <col min="3" max="3" width="10" customWidth="1"/>
    <col min="4" max="6" width="20" customWidth="1"/>
    <col min="7" max="7" width="22" customWidth="1"/>
    <col min="8" max="8" width="40" customWidth="1"/>
  </cols>
  <sheetData>
    <row r="1" spans="1:8" ht="21" x14ac:dyDescent="0.4">
      <c r="A1" s="1" t="s">
        <v>290</v>
      </c>
    </row>
    <row r="2" spans="1:8" x14ac:dyDescent="0.3">
      <c r="A2" s="6" t="s">
        <v>291</v>
      </c>
    </row>
    <row r="4" spans="1:8" ht="30" customHeight="1" x14ac:dyDescent="0.3">
      <c r="A4" s="13" t="s">
        <v>292</v>
      </c>
      <c r="B4" s="13" t="s">
        <v>293</v>
      </c>
      <c r="C4" s="13" t="s">
        <v>294</v>
      </c>
      <c r="D4" s="13" t="s">
        <v>295</v>
      </c>
      <c r="E4" s="13" t="str">
        <f>"Your quote ("&amp;Settings!$B$4&amp;")"</f>
        <v>Your quote (INR)</v>
      </c>
      <c r="F4" s="13" t="str">
        <f>"Unit used ("&amp;Settings!$B$4&amp;")"</f>
        <v>Unit used (INR)</v>
      </c>
      <c r="G4" s="13" t="str">
        <f>"Total ("&amp;Settings!$B$4&amp;")"</f>
        <v>Total (INR)</v>
      </c>
      <c r="H4" s="13" t="s">
        <v>296</v>
      </c>
    </row>
    <row r="5" spans="1:8" ht="26.4" x14ac:dyDescent="0.3">
      <c r="A5" s="15">
        <v>1</v>
      </c>
      <c r="B5" s="10" t="s">
        <v>297</v>
      </c>
      <c r="C5" s="21">
        <f>'2 Sizing'!$B$81</f>
        <v>1</v>
      </c>
      <c r="D5" s="18">
        <v>1000000</v>
      </c>
      <c r="E5" s="18"/>
      <c r="F5" s="29">
        <f>IF(E5&lt;&gt;"",E5,D5*Settings!$B$6)</f>
        <v>1000000</v>
      </c>
      <c r="G5" s="29">
        <f t="shared" ref="G5:G12" si="0">C5*F5</f>
        <v>1000000</v>
      </c>
      <c r="H5" s="9" t="s">
        <v>298</v>
      </c>
    </row>
    <row r="6" spans="1:8" ht="22.8" x14ac:dyDescent="0.3">
      <c r="A6" s="15">
        <v>2</v>
      </c>
      <c r="B6" s="10" t="s">
        <v>299</v>
      </c>
      <c r="C6" s="21">
        <f>'2 Sizing'!$B$82</f>
        <v>2</v>
      </c>
      <c r="D6" s="20">
        <f>'2 Sizing'!$B$42/Settings!$B$6</f>
        <v>850000</v>
      </c>
      <c r="E6" s="18"/>
      <c r="F6" s="29">
        <f>IF(E6&lt;&gt;"",E6,'2 Sizing'!$B$42)</f>
        <v>850000</v>
      </c>
      <c r="G6" s="29">
        <f t="shared" si="0"/>
        <v>1700000</v>
      </c>
      <c r="H6" s="9" t="s">
        <v>300</v>
      </c>
    </row>
    <row r="7" spans="1:8" x14ac:dyDescent="0.3">
      <c r="A7" s="15">
        <v>3</v>
      </c>
      <c r="B7" s="10" t="s">
        <v>301</v>
      </c>
      <c r="C7" s="17">
        <v>1</v>
      </c>
      <c r="D7" s="18">
        <v>100000</v>
      </c>
      <c r="E7" s="18"/>
      <c r="F7" s="29">
        <f>IF(E7&lt;&gt;"",E7,D7*Settings!$B$6)</f>
        <v>100000</v>
      </c>
      <c r="G7" s="29">
        <f t="shared" si="0"/>
        <v>100000</v>
      </c>
      <c r="H7" s="9" t="s">
        <v>302</v>
      </c>
    </row>
    <row r="8" spans="1:8" ht="22.8" x14ac:dyDescent="0.3">
      <c r="A8" s="15">
        <v>4</v>
      </c>
      <c r="B8" s="10" t="s">
        <v>303</v>
      </c>
      <c r="C8" s="17">
        <v>1</v>
      </c>
      <c r="D8" s="18">
        <v>0</v>
      </c>
      <c r="E8" s="18"/>
      <c r="F8" s="29">
        <f>IF(E8&lt;&gt;"",E8,D8*Settings!$B$6)</f>
        <v>0</v>
      </c>
      <c r="G8" s="29">
        <f t="shared" si="0"/>
        <v>0</v>
      </c>
      <c r="H8" s="9" t="s">
        <v>304</v>
      </c>
    </row>
    <row r="9" spans="1:8" ht="22.8" x14ac:dyDescent="0.3">
      <c r="A9" s="15">
        <v>5</v>
      </c>
      <c r="B9" s="10" t="s">
        <v>305</v>
      </c>
      <c r="C9" s="17">
        <v>1</v>
      </c>
      <c r="D9" s="18">
        <v>0</v>
      </c>
      <c r="E9" s="18"/>
      <c r="F9" s="29">
        <f>IF(E9&lt;&gt;"",E9,D9*Settings!$B$6)</f>
        <v>0</v>
      </c>
      <c r="G9" s="29">
        <f t="shared" si="0"/>
        <v>0</v>
      </c>
      <c r="H9" s="9" t="s">
        <v>306</v>
      </c>
    </row>
    <row r="10" spans="1:8" ht="26.4" x14ac:dyDescent="0.3">
      <c r="A10" s="15">
        <v>6</v>
      </c>
      <c r="B10" s="10" t="s">
        <v>307</v>
      </c>
      <c r="C10" s="17">
        <v>1</v>
      </c>
      <c r="D10" s="18">
        <v>0</v>
      </c>
      <c r="E10" s="18"/>
      <c r="F10" s="29">
        <f>IF(E10&lt;&gt;"",E10,D10*Settings!$B$6)</f>
        <v>0</v>
      </c>
      <c r="G10" s="29">
        <f t="shared" si="0"/>
        <v>0</v>
      </c>
      <c r="H10" s="9" t="s">
        <v>308</v>
      </c>
    </row>
    <row r="11" spans="1:8" x14ac:dyDescent="0.3">
      <c r="A11" s="15">
        <v>7</v>
      </c>
      <c r="B11" s="10" t="s">
        <v>309</v>
      </c>
      <c r="C11" s="17">
        <v>1</v>
      </c>
      <c r="D11" s="18">
        <v>0</v>
      </c>
      <c r="E11" s="18"/>
      <c r="F11" s="29">
        <f>IF(E11&lt;&gt;"",E11,D11*Settings!$B$6)</f>
        <v>0</v>
      </c>
      <c r="G11" s="29">
        <f t="shared" si="0"/>
        <v>0</v>
      </c>
      <c r="H11" s="9" t="s">
        <v>310</v>
      </c>
    </row>
    <row r="12" spans="1:8" ht="22.8" x14ac:dyDescent="0.3">
      <c r="A12" s="15">
        <v>8</v>
      </c>
      <c r="B12" s="10" t="s">
        <v>311</v>
      </c>
      <c r="C12" s="17">
        <v>20</v>
      </c>
      <c r="D12" s="18">
        <v>40000</v>
      </c>
      <c r="E12" s="18"/>
      <c r="F12" s="29">
        <f>IF(E12&lt;&gt;"",E12,D12*Settings!$B$6)</f>
        <v>40000</v>
      </c>
      <c r="G12" s="29">
        <f t="shared" si="0"/>
        <v>800000</v>
      </c>
      <c r="H12" s="9" t="s">
        <v>312</v>
      </c>
    </row>
    <row r="13" spans="1:8" x14ac:dyDescent="0.3">
      <c r="B13" s="7" t="str">
        <f>"Total one-time, hardware + implementation ("&amp;Settings!$B$4&amp;")"</f>
        <v>Total one-time, hardware + implementation (INR)</v>
      </c>
      <c r="G13" s="38">
        <f>SUM(G5:G12)</f>
        <v>3600000</v>
      </c>
    </row>
    <row r="15" spans="1:8" ht="15.6" x14ac:dyDescent="0.3">
      <c r="A15" s="12" t="s">
        <v>313</v>
      </c>
    </row>
    <row r="16" spans="1:8" ht="30" customHeight="1" x14ac:dyDescent="0.3">
      <c r="A16" s="13" t="s">
        <v>314</v>
      </c>
      <c r="B16" s="13" t="s">
        <v>293</v>
      </c>
      <c r="C16" s="13" t="s">
        <v>294</v>
      </c>
      <c r="D16" s="13" t="s">
        <v>315</v>
      </c>
      <c r="E16" s="13" t="str">
        <f>"Your quote / yr ("&amp;Settings!$B$4&amp;")"</f>
        <v>Your quote / yr (INR)</v>
      </c>
      <c r="F16" s="13" t="str">
        <f>"Unit used / yr ("&amp;Settings!$B$4&amp;")"</f>
        <v>Unit used / yr (INR)</v>
      </c>
      <c r="G16" s="13" t="str">
        <f>"Total / yr ("&amp;Settings!$B$4&amp;")"</f>
        <v>Total / yr (INR)</v>
      </c>
      <c r="H16" s="13" t="s">
        <v>296</v>
      </c>
    </row>
    <row r="17" spans="1:8" ht="22.8" x14ac:dyDescent="0.3">
      <c r="A17" s="37" t="s">
        <v>316</v>
      </c>
      <c r="B17" s="10" t="s">
        <v>317</v>
      </c>
      <c r="C17" s="21">
        <f>'2 Sizing'!$B$82</f>
        <v>2</v>
      </c>
      <c r="D17" s="18">
        <v>375000</v>
      </c>
      <c r="E17" s="18"/>
      <c r="F17" s="29">
        <f>IF(E17&lt;&gt;"",E17,D17*Settings!$B$6)</f>
        <v>375000</v>
      </c>
      <c r="G17" s="29">
        <f>C17*F17</f>
        <v>750000</v>
      </c>
      <c r="H17" s="9" t="s">
        <v>318</v>
      </c>
    </row>
    <row r="18" spans="1:8" ht="26.4" x14ac:dyDescent="0.3">
      <c r="A18" s="37" t="s">
        <v>319</v>
      </c>
      <c r="B18" s="10" t="s">
        <v>320</v>
      </c>
      <c r="C18" s="21">
        <f>'2 Sizing'!$B$81</f>
        <v>1</v>
      </c>
      <c r="D18" s="18">
        <v>600000</v>
      </c>
      <c r="E18" s="18"/>
      <c r="F18" s="29">
        <f>IF(E18&lt;&gt;"",E18,D18*Settings!$B$6)</f>
        <v>600000</v>
      </c>
      <c r="G18" s="29">
        <f>C18*F18</f>
        <v>600000</v>
      </c>
      <c r="H18" s="9" t="s">
        <v>321</v>
      </c>
    </row>
    <row r="19" spans="1:8" ht="26.4" x14ac:dyDescent="0.3">
      <c r="A19" s="37" t="s">
        <v>322</v>
      </c>
      <c r="B19" s="10" t="s">
        <v>323</v>
      </c>
      <c r="C19" s="21">
        <f>'2 Sizing'!$B$81</f>
        <v>1</v>
      </c>
      <c r="D19" s="18">
        <v>80000</v>
      </c>
      <c r="E19" s="18"/>
      <c r="F19" s="29">
        <f>IF(E19&lt;&gt;"",E19,D19*Settings!$B$6)</f>
        <v>80000</v>
      </c>
      <c r="G19" s="29">
        <f>C19*F19</f>
        <v>80000</v>
      </c>
      <c r="H19" s="9" t="s">
        <v>324</v>
      </c>
    </row>
    <row r="20" spans="1:8" x14ac:dyDescent="0.3">
      <c r="A20" s="37" t="s">
        <v>325</v>
      </c>
      <c r="B20" s="10" t="s">
        <v>326</v>
      </c>
      <c r="C20" s="17">
        <v>1</v>
      </c>
      <c r="D20" s="18">
        <v>0</v>
      </c>
      <c r="E20" s="18"/>
      <c r="F20" s="29">
        <f>IF(E20&lt;&gt;"",E20,D20*Settings!$B$6)</f>
        <v>0</v>
      </c>
      <c r="G20" s="29">
        <f>C20*F20</f>
        <v>0</v>
      </c>
      <c r="H20" s="9" t="s">
        <v>327</v>
      </c>
    </row>
    <row r="21" spans="1:8" ht="26.4" x14ac:dyDescent="0.3">
      <c r="B21" s="16" t="s">
        <v>328</v>
      </c>
    </row>
    <row r="22" spans="1:8" x14ac:dyDescent="0.3">
      <c r="B22" s="22" t="str">
        <f>B17</f>
        <v>NVIDIA AI Enterprise subscription (per GPU per year)</v>
      </c>
      <c r="C22" s="8" t="s">
        <v>114</v>
      </c>
      <c r="G22" s="29">
        <f>IF(C22="Yes",G17,0)</f>
        <v>0</v>
      </c>
    </row>
    <row r="23" spans="1:8" x14ac:dyDescent="0.3">
      <c r="B23" s="22" t="str">
        <f>B18</f>
        <v>Commercial Kubernetes subscription (OpenShift / VKS / NKP), per server per year</v>
      </c>
      <c r="C23" s="8" t="s">
        <v>114</v>
      </c>
      <c r="G23" s="29">
        <f>IF(C23="Yes",G18,0)</f>
        <v>0</v>
      </c>
    </row>
    <row r="24" spans="1:8" x14ac:dyDescent="0.3">
      <c r="B24" s="22" t="str">
        <f>B20</f>
        <v>Commercial observability / backup (Datadog, Kasten...)</v>
      </c>
      <c r="C24" s="8" t="s">
        <v>114</v>
      </c>
      <c r="G24" s="29">
        <f>IF(C24="Yes",G20,0)</f>
        <v>0</v>
      </c>
    </row>
    <row r="25" spans="1:8" x14ac:dyDescent="0.3">
      <c r="B25" s="7" t="str">
        <f>"Recurring options included, per year ("&amp;Settings!$B$4&amp;")"</f>
        <v>Recurring options included, per year (INR)</v>
      </c>
      <c r="G25" s="38">
        <f>$G$22+$G$23+$G$24</f>
        <v>0</v>
      </c>
    </row>
  </sheetData>
  <dataValidations count="1">
    <dataValidation type="list" sqref="C22:C24" xr:uid="{00000000-0002-0000-0400-000000000000}">
      <formula1>"Yes,No"</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E242C"/>
  </sheetPr>
  <dimension ref="A1:E36"/>
  <sheetViews>
    <sheetView showGridLines="0" workbookViewId="0">
      <pane ySplit="3" topLeftCell="A4" activePane="bottomLeft" state="frozen"/>
      <selection pane="bottomLeft"/>
    </sheetView>
  </sheetViews>
  <sheetFormatPr defaultRowHeight="14.4" x14ac:dyDescent="0.3"/>
  <cols>
    <col min="1" max="1" width="52" customWidth="1"/>
    <col min="2" max="2" width="20" customWidth="1"/>
    <col min="3" max="4" width="18" customWidth="1"/>
    <col min="5" max="5" width="50" customWidth="1"/>
  </cols>
  <sheetData>
    <row r="1" spans="1:5" ht="21" x14ac:dyDescent="0.4">
      <c r="A1" s="1" t="s">
        <v>329</v>
      </c>
    </row>
    <row r="2" spans="1:5" x14ac:dyDescent="0.3">
      <c r="A2" s="6" t="s">
        <v>330</v>
      </c>
    </row>
    <row r="4" spans="1:5" ht="15.6" x14ac:dyDescent="0.3">
      <c r="A4" s="12" t="s">
        <v>331</v>
      </c>
    </row>
    <row r="5" spans="1:5" x14ac:dyDescent="0.3">
      <c r="A5" s="10" t="s">
        <v>25</v>
      </c>
      <c r="B5" s="22" t="str">
        <f>Settings!$B$4</f>
        <v>INR</v>
      </c>
    </row>
    <row r="6" spans="1:5" ht="30" customHeight="1" x14ac:dyDescent="0.3">
      <c r="A6" s="13" t="s">
        <v>332</v>
      </c>
      <c r="B6" s="13" t="s">
        <v>333</v>
      </c>
      <c r="C6" s="13" t="str">
        <f>"Your figure ("&amp;Settings!$B$4&amp;")"</f>
        <v>Your figure (INR)</v>
      </c>
      <c r="D6" s="13" t="str">
        <f>"Used ("&amp;Settings!$B$4&amp;")"</f>
        <v>Used (INR)</v>
      </c>
      <c r="E6" s="13" t="s">
        <v>35</v>
      </c>
    </row>
    <row r="7" spans="1:5" ht="22.8" x14ac:dyDescent="0.3">
      <c r="A7" s="10" t="s">
        <v>334</v>
      </c>
      <c r="B7" s="39">
        <v>60</v>
      </c>
      <c r="C7" s="39"/>
      <c r="D7" s="40">
        <f>IF(C7&lt;&gt;"",C7,B7*Settings!$B$6)</f>
        <v>60</v>
      </c>
      <c r="E7" s="9" t="s">
        <v>335</v>
      </c>
    </row>
    <row r="8" spans="1:5" x14ac:dyDescent="0.3">
      <c r="A8" s="10" t="s">
        <v>336</v>
      </c>
      <c r="B8" s="39">
        <v>9</v>
      </c>
      <c r="C8" s="39"/>
      <c r="D8" s="40">
        <f>IF(C8&lt;&gt;"",C8,B8*Settings!$B$6)</f>
        <v>9</v>
      </c>
      <c r="E8" s="9" t="s">
        <v>337</v>
      </c>
    </row>
    <row r="9" spans="1:5" x14ac:dyDescent="0.3">
      <c r="A9" s="10" t="s">
        <v>338</v>
      </c>
      <c r="B9" s="18">
        <v>1000000</v>
      </c>
      <c r="C9" s="18"/>
      <c r="D9" s="33">
        <f>IF(C9&lt;&gt;"",C9,B9*Settings!$B$6)</f>
        <v>1000000</v>
      </c>
      <c r="E9" s="9" t="s">
        <v>339</v>
      </c>
    </row>
    <row r="11" spans="1:5" x14ac:dyDescent="0.3">
      <c r="A11" s="10" t="s">
        <v>340</v>
      </c>
      <c r="B11" s="17">
        <v>3</v>
      </c>
      <c r="E11" s="9" t="s">
        <v>341</v>
      </c>
    </row>
    <row r="12" spans="1:5" x14ac:dyDescent="0.3">
      <c r="A12" s="10" t="s">
        <v>342</v>
      </c>
      <c r="B12" s="24">
        <v>0.4</v>
      </c>
      <c r="E12" s="9" t="s">
        <v>343</v>
      </c>
    </row>
    <row r="13" spans="1:5" x14ac:dyDescent="0.3">
      <c r="A13" s="10" t="s">
        <v>344</v>
      </c>
      <c r="B13" s="24">
        <v>0.05</v>
      </c>
      <c r="E13" s="9" t="s">
        <v>345</v>
      </c>
    </row>
    <row r="14" spans="1:5" ht="26.4" x14ac:dyDescent="0.3">
      <c r="A14" s="10" t="s">
        <v>346</v>
      </c>
      <c r="B14" s="25">
        <v>0.08</v>
      </c>
      <c r="E14" s="9" t="s">
        <v>347</v>
      </c>
    </row>
    <row r="16" spans="1:5" ht="15.6" x14ac:dyDescent="0.3">
      <c r="A16" s="12" t="s">
        <v>348</v>
      </c>
    </row>
    <row r="17" spans="1:5" x14ac:dyDescent="0.3">
      <c r="A17" s="10" t="s">
        <v>349</v>
      </c>
      <c r="B17" s="20">
        <f>'3 BOM'!$G$13</f>
        <v>3600000</v>
      </c>
      <c r="E17" s="9"/>
    </row>
    <row r="18" spans="1:5" x14ac:dyDescent="0.3">
      <c r="A18" s="10" t="s">
        <v>350</v>
      </c>
      <c r="B18" s="29">
        <f>'2 Sizing'!$B$99*$D$8*$B$11</f>
        <v>283824</v>
      </c>
      <c r="E18" s="9" t="s">
        <v>351</v>
      </c>
    </row>
    <row r="19" spans="1:5" x14ac:dyDescent="0.3">
      <c r="A19" s="10" t="s">
        <v>352</v>
      </c>
      <c r="B19" s="20">
        <f>'3 BOM'!$G$25*$B$11</f>
        <v>0</v>
      </c>
      <c r="E19" s="9"/>
    </row>
    <row r="20" spans="1:5" x14ac:dyDescent="0.3">
      <c r="A20" s="10" t="s">
        <v>353</v>
      </c>
      <c r="B20" s="29">
        <f>IF($B$11&gt;3,$B$17*$B$14*($B$11-3),0)</f>
        <v>0</v>
      </c>
      <c r="E20" s="9"/>
    </row>
    <row r="21" spans="1:5" x14ac:dyDescent="0.3">
      <c r="A21" s="10" t="s">
        <v>354</v>
      </c>
      <c r="B21" s="29">
        <f>$B$12*$D$9*$B$11</f>
        <v>1200000</v>
      </c>
      <c r="E21" s="9"/>
    </row>
    <row r="22" spans="1:5" x14ac:dyDescent="0.3">
      <c r="A22" s="7" t="s">
        <v>355</v>
      </c>
      <c r="B22" s="33">
        <f>$B$17+$B$18+$B$19+$B$20+$B$21</f>
        <v>5083824</v>
      </c>
      <c r="E22" s="9"/>
    </row>
    <row r="24" spans="1:5" ht="15.6" x14ac:dyDescent="0.3">
      <c r="A24" s="12" t="s">
        <v>356</v>
      </c>
    </row>
    <row r="25" spans="1:5" x14ac:dyDescent="0.3">
      <c r="A25" s="10" t="s">
        <v>357</v>
      </c>
      <c r="B25" s="29">
        <f>'2 Sizing'!$B$46*12*$B$11</f>
        <v>5544000000</v>
      </c>
      <c r="E25" s="9" t="s">
        <v>358</v>
      </c>
    </row>
    <row r="26" spans="1:5" x14ac:dyDescent="0.3">
      <c r="A26" s="10" t="s">
        <v>359</v>
      </c>
      <c r="B26" s="29">
        <f>$B$25/1000000*$D$7</f>
        <v>332640</v>
      </c>
      <c r="E26" s="9"/>
    </row>
    <row r="27" spans="1:5" x14ac:dyDescent="0.3">
      <c r="A27" s="10" t="s">
        <v>354</v>
      </c>
      <c r="B27" s="29">
        <f>$B$13*$D$9*$B$11</f>
        <v>150000</v>
      </c>
      <c r="E27" s="9"/>
    </row>
    <row r="28" spans="1:5" x14ac:dyDescent="0.3">
      <c r="A28" s="7" t="s">
        <v>360</v>
      </c>
      <c r="B28" s="33">
        <f>$B$26+$B$27</f>
        <v>482640</v>
      </c>
      <c r="E28" s="9"/>
    </row>
    <row r="29" spans="1:5" x14ac:dyDescent="0.3">
      <c r="A29" s="10" t="s">
        <v>361</v>
      </c>
      <c r="B29" s="29">
        <f>$B$26*'2 Sizing'!$B$14+$B$27</f>
        <v>815280</v>
      </c>
      <c r="E29" s="9" t="s">
        <v>362</v>
      </c>
    </row>
    <row r="31" spans="1:5" ht="15.6" x14ac:dyDescent="0.3">
      <c r="A31" s="12" t="s">
        <v>243</v>
      </c>
    </row>
    <row r="32" spans="1:5" x14ac:dyDescent="0.3">
      <c r="A32" s="7" t="s">
        <v>363</v>
      </c>
      <c r="B32" s="41">
        <f>IF($B$28&gt;0,$B$22/$B$28,0)</f>
        <v>10.533366484336151</v>
      </c>
      <c r="E32" s="9" t="s">
        <v>364</v>
      </c>
    </row>
    <row r="33" spans="1:5" ht="22.8" x14ac:dyDescent="0.3">
      <c r="A33" s="10" t="s">
        <v>365</v>
      </c>
      <c r="B33" s="29">
        <f>IF($D$7&gt;0,($B$22-$B$27)/($B$11*12)/$D$7*1000000,0)</f>
        <v>2284177777.7777777</v>
      </c>
      <c r="E33" s="9" t="s">
        <v>366</v>
      </c>
    </row>
    <row r="34" spans="1:5" x14ac:dyDescent="0.3">
      <c r="A34" s="7" t="s">
        <v>367</v>
      </c>
      <c r="B34" s="33">
        <f>$B$33/22</f>
        <v>103826262.62626262</v>
      </c>
      <c r="E34" s="9"/>
    </row>
    <row r="35" spans="1:5" ht="22.8" x14ac:dyDescent="0.3">
      <c r="A35" s="7" t="s">
        <v>368</v>
      </c>
      <c r="B35" s="41">
        <f>IF('2 Sizing'!$B$45&gt;0,$B$34/'2 Sizing'!$B$45,0)</f>
        <v>14.832323232323231</v>
      </c>
      <c r="E35" s="9" t="s">
        <v>369</v>
      </c>
    </row>
    <row r="36" spans="1:5" ht="60" customHeight="1" x14ac:dyDescent="0.3">
      <c r="A36" s="7" t="s">
        <v>370</v>
      </c>
      <c r="B36" s="43" t="str">
        <f>IF($B$32&gt;1,"Over "&amp;$B$11&amp;" years, self-hosting costs about "&amp;Settings!$B$4&amp;" "&amp;TEXT($B$22,"#,##0")&amp;" against "&amp;Settings!$B$4&amp;" "&amp;TEXT($B$28,"#,##0")&amp;" on the API, so the API is about "&amp;TEXT($B$32,"0.0")&amp;"x cheaper. Self-hosting is justified only by a non-cost requirement (data residency, quotas, offline) or by usage above "&amp;TEXT($B$35,"0.0")&amp;"x today's volume.","Self-hosting ("&amp;Settings!$B$4&amp;" "&amp;TEXT($B$22,"#,##0")&amp;") is cheaper than the API ("&amp;Settings!$B$4&amp;" "&amp;TEXT($B$28,"#,##0")&amp;") over "&amp;$B$11&amp;" years at today's volume.")</f>
        <v>Over 3 years, self-hosting costs about INR 50,83,824 against INR 4,82,640 on the API, so the API is about 10.5x cheaper. Self-hosting is justified only by a non-cost requirement (data residency, quotas, offline) or by usage above 14.8x today's volume.</v>
      </c>
      <c r="C36" s="44"/>
      <c r="D36" s="45"/>
      <c r="E36" s="9"/>
    </row>
  </sheetData>
  <mergeCells count="1">
    <mergeCell ref="B36:D3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E242C"/>
  </sheetPr>
  <dimension ref="A1:D27"/>
  <sheetViews>
    <sheetView showGridLines="0" workbookViewId="0">
      <pane ySplit="4" topLeftCell="A5" activePane="bottomLeft" state="frozen"/>
      <selection pane="bottomLeft"/>
    </sheetView>
  </sheetViews>
  <sheetFormatPr defaultRowHeight="14.4" x14ac:dyDescent="0.3"/>
  <cols>
    <col min="1" max="1" width="6" customWidth="1"/>
    <col min="2" max="2" width="70" customWidth="1"/>
    <col min="3" max="3" width="14" customWidth="1"/>
    <col min="4" max="4" width="60" customWidth="1"/>
  </cols>
  <sheetData>
    <row r="1" spans="1:4" ht="21" x14ac:dyDescent="0.4">
      <c r="A1" s="1" t="s">
        <v>371</v>
      </c>
    </row>
    <row r="2" spans="1:4" x14ac:dyDescent="0.3">
      <c r="A2" s="6" t="s">
        <v>372</v>
      </c>
    </row>
    <row r="4" spans="1:4" ht="30" customHeight="1" x14ac:dyDescent="0.3">
      <c r="A4" s="13" t="s">
        <v>68</v>
      </c>
      <c r="B4" s="13" t="s">
        <v>69</v>
      </c>
      <c r="C4" s="13" t="s">
        <v>71</v>
      </c>
      <c r="D4" s="13" t="s">
        <v>373</v>
      </c>
    </row>
    <row r="5" spans="1:4" x14ac:dyDescent="0.3">
      <c r="A5" s="15">
        <v>1</v>
      </c>
      <c r="B5" s="16" t="s">
        <v>374</v>
      </c>
      <c r="C5" s="8" t="s">
        <v>375</v>
      </c>
      <c r="D5" s="9" t="s">
        <v>376</v>
      </c>
    </row>
    <row r="6" spans="1:4" x14ac:dyDescent="0.3">
      <c r="A6" s="15">
        <v>2</v>
      </c>
      <c r="B6" s="16" t="s">
        <v>377</v>
      </c>
      <c r="C6" s="8" t="s">
        <v>114</v>
      </c>
      <c r="D6" s="9" t="s">
        <v>378</v>
      </c>
    </row>
    <row r="7" spans="1:4" x14ac:dyDescent="0.3">
      <c r="A7" s="15">
        <v>3</v>
      </c>
      <c r="B7" s="16" t="s">
        <v>379</v>
      </c>
      <c r="C7" s="8" t="s">
        <v>114</v>
      </c>
      <c r="D7" s="9" t="s">
        <v>380</v>
      </c>
    </row>
    <row r="8" spans="1:4" x14ac:dyDescent="0.3">
      <c r="A8" s="15">
        <v>4</v>
      </c>
      <c r="B8" s="16" t="s">
        <v>381</v>
      </c>
      <c r="C8" s="8" t="s">
        <v>375</v>
      </c>
      <c r="D8" s="9" t="s">
        <v>382</v>
      </c>
    </row>
    <row r="9" spans="1:4" x14ac:dyDescent="0.3">
      <c r="A9" s="15">
        <v>5</v>
      </c>
      <c r="B9" s="16" t="s">
        <v>383</v>
      </c>
      <c r="C9" s="8" t="s">
        <v>114</v>
      </c>
      <c r="D9" s="9" t="s">
        <v>384</v>
      </c>
    </row>
    <row r="10" spans="1:4" x14ac:dyDescent="0.3">
      <c r="B10" s="7" t="s">
        <v>385</v>
      </c>
      <c r="C10" s="42">
        <f>COUNTIF(C5:C9,"Yes")</f>
        <v>2</v>
      </c>
    </row>
    <row r="11" spans="1:4" x14ac:dyDescent="0.3">
      <c r="B11" s="7" t="s">
        <v>243</v>
      </c>
      <c r="C11" s="46" t="str">
        <f>IF(C10&gt;=2,"Self-host is defensible","Stay on the API")</f>
        <v>Self-host is defensible</v>
      </c>
      <c r="D11" s="45"/>
    </row>
    <row r="13" spans="1:4" ht="15.6" x14ac:dyDescent="0.3">
      <c r="A13" s="12" t="s">
        <v>386</v>
      </c>
    </row>
    <row r="14" spans="1:4" ht="30" customHeight="1" x14ac:dyDescent="0.3">
      <c r="A14" s="13" t="s">
        <v>68</v>
      </c>
      <c r="B14" s="13" t="s">
        <v>293</v>
      </c>
      <c r="C14" s="13" t="s">
        <v>387</v>
      </c>
      <c r="D14" s="13" t="s">
        <v>296</v>
      </c>
    </row>
    <row r="15" spans="1:4" x14ac:dyDescent="0.3">
      <c r="A15" s="15">
        <v>1</v>
      </c>
      <c r="B15" s="10" t="s">
        <v>388</v>
      </c>
      <c r="C15" s="8" t="s">
        <v>114</v>
      </c>
      <c r="D15" s="10"/>
    </row>
    <row r="16" spans="1:4" x14ac:dyDescent="0.3">
      <c r="A16" s="15">
        <v>2</v>
      </c>
      <c r="B16" s="10" t="s">
        <v>389</v>
      </c>
      <c r="C16" s="8" t="s">
        <v>114</v>
      </c>
      <c r="D16" s="10"/>
    </row>
    <row r="17" spans="1:4" ht="26.4" x14ac:dyDescent="0.3">
      <c r="A17" s="15">
        <v>3</v>
      </c>
      <c r="B17" s="10" t="s">
        <v>390</v>
      </c>
      <c r="C17" s="8" t="s">
        <v>114</v>
      </c>
      <c r="D17" s="10"/>
    </row>
    <row r="18" spans="1:4" ht="26.4" x14ac:dyDescent="0.3">
      <c r="A18" s="15">
        <v>4</v>
      </c>
      <c r="B18" s="10" t="s">
        <v>391</v>
      </c>
      <c r="C18" s="8" t="s">
        <v>114</v>
      </c>
      <c r="D18" s="10"/>
    </row>
    <row r="19" spans="1:4" x14ac:dyDescent="0.3">
      <c r="A19" s="15">
        <v>5</v>
      </c>
      <c r="B19" s="10" t="s">
        <v>392</v>
      </c>
      <c r="C19" s="8" t="s">
        <v>114</v>
      </c>
      <c r="D19" s="10"/>
    </row>
    <row r="20" spans="1:4" x14ac:dyDescent="0.3">
      <c r="A20" s="15">
        <v>6</v>
      </c>
      <c r="B20" s="10" t="s">
        <v>393</v>
      </c>
      <c r="C20" s="8" t="s">
        <v>114</v>
      </c>
      <c r="D20" s="10"/>
    </row>
    <row r="21" spans="1:4" ht="26.4" x14ac:dyDescent="0.3">
      <c r="A21" s="15">
        <v>7</v>
      </c>
      <c r="B21" s="10" t="s">
        <v>394</v>
      </c>
      <c r="C21" s="8" t="s">
        <v>114</v>
      </c>
      <c r="D21" s="10"/>
    </row>
    <row r="22" spans="1:4" x14ac:dyDescent="0.3">
      <c r="A22" s="15">
        <v>8</v>
      </c>
      <c r="B22" s="10" t="s">
        <v>395</v>
      </c>
      <c r="C22" s="8" t="s">
        <v>114</v>
      </c>
      <c r="D22" s="10"/>
    </row>
    <row r="23" spans="1:4" ht="26.4" x14ac:dyDescent="0.3">
      <c r="A23" s="15">
        <v>9</v>
      </c>
      <c r="B23" s="10" t="s">
        <v>396</v>
      </c>
      <c r="C23" s="8" t="s">
        <v>114</v>
      </c>
      <c r="D23" s="10"/>
    </row>
    <row r="24" spans="1:4" x14ac:dyDescent="0.3">
      <c r="A24" s="15">
        <v>10</v>
      </c>
      <c r="B24" s="10" t="s">
        <v>397</v>
      </c>
      <c r="C24" s="8" t="s">
        <v>114</v>
      </c>
      <c r="D24" s="10"/>
    </row>
    <row r="25" spans="1:4" ht="26.4" x14ac:dyDescent="0.3">
      <c r="A25" s="15">
        <v>11</v>
      </c>
      <c r="B25" s="10" t="s">
        <v>398</v>
      </c>
      <c r="C25" s="8" t="s">
        <v>114</v>
      </c>
      <c r="D25" s="10"/>
    </row>
    <row r="26" spans="1:4" x14ac:dyDescent="0.3">
      <c r="A26" s="15">
        <v>12</v>
      </c>
      <c r="B26" s="10" t="s">
        <v>399</v>
      </c>
      <c r="C26" s="8" t="s">
        <v>114</v>
      </c>
      <c r="D26" s="10"/>
    </row>
    <row r="27" spans="1:4" x14ac:dyDescent="0.3">
      <c r="B27" s="7" t="s">
        <v>400</v>
      </c>
      <c r="C27" s="7" t="str">
        <f>COUNTIF(C15:C26,"Yes")&amp;" / "&amp;12</f>
        <v>0 / 12</v>
      </c>
    </row>
  </sheetData>
  <mergeCells count="1">
    <mergeCell ref="C11:D11"/>
  </mergeCells>
  <dataValidations count="1">
    <dataValidation type="list" sqref="C15:C26 C5:C9" xr:uid="{00000000-0002-0000-0600-000000000000}">
      <formula1>"Yes,No"</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5F5E5A"/>
  </sheetPr>
  <dimension ref="A1:G18"/>
  <sheetViews>
    <sheetView showGridLines="0" workbookViewId="0"/>
  </sheetViews>
  <sheetFormatPr defaultRowHeight="14.4" x14ac:dyDescent="0.3"/>
  <cols>
    <col min="1" max="1" width="34" customWidth="1"/>
    <col min="2" max="2" width="14" customWidth="1"/>
    <col min="3" max="5" width="10" customWidth="1"/>
    <col min="6" max="6" width="12" customWidth="1"/>
    <col min="7" max="7" width="60" customWidth="1"/>
  </cols>
  <sheetData>
    <row r="1" spans="1:7" ht="21" x14ac:dyDescent="0.4">
      <c r="A1" s="1" t="s">
        <v>401</v>
      </c>
    </row>
    <row r="2" spans="1:7" x14ac:dyDescent="0.3">
      <c r="A2" s="6" t="s">
        <v>402</v>
      </c>
    </row>
    <row r="4" spans="1:7" ht="30" customHeight="1" x14ac:dyDescent="0.3">
      <c r="A4" s="13" t="s">
        <v>156</v>
      </c>
      <c r="B4" s="13" t="s">
        <v>403</v>
      </c>
      <c r="C4" s="13" t="s">
        <v>200</v>
      </c>
      <c r="D4" s="13" t="s">
        <v>201</v>
      </c>
      <c r="E4" s="13" t="s">
        <v>404</v>
      </c>
      <c r="F4" s="13" t="s">
        <v>405</v>
      </c>
      <c r="G4" s="13" t="s">
        <v>296</v>
      </c>
    </row>
    <row r="5" spans="1:7" x14ac:dyDescent="0.3">
      <c r="A5" s="8" t="s">
        <v>99</v>
      </c>
      <c r="B5" s="26">
        <v>70</v>
      </c>
      <c r="C5" s="17">
        <v>80</v>
      </c>
      <c r="D5" s="17">
        <v>8</v>
      </c>
      <c r="E5" s="17">
        <v>128</v>
      </c>
      <c r="F5" s="27">
        <f t="shared" ref="F5:F16" si="0">2*C5*D5*E5*2/1024</f>
        <v>320</v>
      </c>
      <c r="G5" s="9" t="s">
        <v>406</v>
      </c>
    </row>
    <row r="6" spans="1:7" x14ac:dyDescent="0.3">
      <c r="A6" s="8" t="s">
        <v>407</v>
      </c>
      <c r="B6" s="26">
        <v>8</v>
      </c>
      <c r="C6" s="17">
        <v>32</v>
      </c>
      <c r="D6" s="17">
        <v>8</v>
      </c>
      <c r="E6" s="17">
        <v>128</v>
      </c>
      <c r="F6" s="27">
        <f t="shared" si="0"/>
        <v>128</v>
      </c>
      <c r="G6" s="9" t="s">
        <v>408</v>
      </c>
    </row>
    <row r="7" spans="1:7" x14ac:dyDescent="0.3">
      <c r="A7" s="8" t="s">
        <v>409</v>
      </c>
      <c r="B7" s="26">
        <v>3</v>
      </c>
      <c r="C7" s="17">
        <v>28</v>
      </c>
      <c r="D7" s="17">
        <v>8</v>
      </c>
      <c r="E7" s="17">
        <v>128</v>
      </c>
      <c r="F7" s="27">
        <f t="shared" si="0"/>
        <v>112</v>
      </c>
      <c r="G7" s="9" t="s">
        <v>410</v>
      </c>
    </row>
    <row r="8" spans="1:7" x14ac:dyDescent="0.3">
      <c r="A8" s="8" t="s">
        <v>411</v>
      </c>
      <c r="B8" s="26">
        <v>405</v>
      </c>
      <c r="C8" s="17">
        <v>126</v>
      </c>
      <c r="D8" s="17">
        <v>8</v>
      </c>
      <c r="E8" s="17">
        <v>128</v>
      </c>
      <c r="F8" s="27">
        <f t="shared" si="0"/>
        <v>504</v>
      </c>
      <c r="G8" s="9" t="s">
        <v>412</v>
      </c>
    </row>
    <row r="9" spans="1:7" x14ac:dyDescent="0.3">
      <c r="A9" s="8" t="s">
        <v>413</v>
      </c>
      <c r="B9" s="26">
        <v>72</v>
      </c>
      <c r="C9" s="17">
        <v>80</v>
      </c>
      <c r="D9" s="17">
        <v>8</v>
      </c>
      <c r="E9" s="17">
        <v>128</v>
      </c>
      <c r="F9" s="27">
        <f t="shared" si="0"/>
        <v>320</v>
      </c>
      <c r="G9" s="9" t="s">
        <v>414</v>
      </c>
    </row>
    <row r="10" spans="1:7" x14ac:dyDescent="0.3">
      <c r="A10" s="8" t="s">
        <v>415</v>
      </c>
      <c r="B10" s="26">
        <v>32</v>
      </c>
      <c r="C10" s="17">
        <v>64</v>
      </c>
      <c r="D10" s="17">
        <v>8</v>
      </c>
      <c r="E10" s="17">
        <v>128</v>
      </c>
      <c r="F10" s="27">
        <f t="shared" si="0"/>
        <v>256</v>
      </c>
      <c r="G10" s="9" t="s">
        <v>416</v>
      </c>
    </row>
    <row r="11" spans="1:7" x14ac:dyDescent="0.3">
      <c r="A11" s="8" t="s">
        <v>417</v>
      </c>
      <c r="B11" s="26">
        <v>14</v>
      </c>
      <c r="C11" s="17">
        <v>48</v>
      </c>
      <c r="D11" s="17">
        <v>8</v>
      </c>
      <c r="E11" s="17">
        <v>128</v>
      </c>
      <c r="F11" s="27">
        <f t="shared" si="0"/>
        <v>192</v>
      </c>
      <c r="G11" s="9" t="s">
        <v>418</v>
      </c>
    </row>
    <row r="12" spans="1:7" x14ac:dyDescent="0.3">
      <c r="A12" s="8" t="s">
        <v>419</v>
      </c>
      <c r="B12" s="26">
        <v>7</v>
      </c>
      <c r="C12" s="17">
        <v>28</v>
      </c>
      <c r="D12" s="17">
        <v>4</v>
      </c>
      <c r="E12" s="17">
        <v>128</v>
      </c>
      <c r="F12" s="27">
        <f t="shared" si="0"/>
        <v>56</v>
      </c>
      <c r="G12" s="9" t="s">
        <v>420</v>
      </c>
    </row>
    <row r="13" spans="1:7" x14ac:dyDescent="0.3">
      <c r="A13" s="8" t="s">
        <v>421</v>
      </c>
      <c r="B13" s="26">
        <v>7</v>
      </c>
      <c r="C13" s="17">
        <v>32</v>
      </c>
      <c r="D13" s="17">
        <v>8</v>
      </c>
      <c r="E13" s="17">
        <v>128</v>
      </c>
      <c r="F13" s="27">
        <f t="shared" si="0"/>
        <v>128</v>
      </c>
      <c r="G13" s="9" t="s">
        <v>422</v>
      </c>
    </row>
    <row r="14" spans="1:7" x14ac:dyDescent="0.3">
      <c r="A14" s="8" t="s">
        <v>423</v>
      </c>
      <c r="B14" s="26">
        <v>24</v>
      </c>
      <c r="C14" s="17">
        <v>40</v>
      </c>
      <c r="D14" s="17">
        <v>8</v>
      </c>
      <c r="E14" s="17">
        <v>128</v>
      </c>
      <c r="F14" s="27">
        <f t="shared" si="0"/>
        <v>160</v>
      </c>
      <c r="G14" s="9" t="s">
        <v>422</v>
      </c>
    </row>
    <row r="15" spans="1:7" x14ac:dyDescent="0.3">
      <c r="A15" s="8" t="s">
        <v>424</v>
      </c>
      <c r="B15" s="26">
        <v>8</v>
      </c>
      <c r="C15" s="17">
        <v>40</v>
      </c>
      <c r="D15" s="17">
        <v>8</v>
      </c>
      <c r="E15" s="17">
        <v>128</v>
      </c>
      <c r="F15" s="27">
        <f t="shared" si="0"/>
        <v>160</v>
      </c>
      <c r="G15" s="9" t="s">
        <v>425</v>
      </c>
    </row>
    <row r="16" spans="1:7" x14ac:dyDescent="0.3">
      <c r="A16" s="8" t="s">
        <v>426</v>
      </c>
      <c r="B16" s="26">
        <v>70</v>
      </c>
      <c r="C16" s="17">
        <v>80</v>
      </c>
      <c r="D16" s="17">
        <v>8</v>
      </c>
      <c r="E16" s="17">
        <v>128</v>
      </c>
      <c r="F16" s="27">
        <f t="shared" si="0"/>
        <v>320</v>
      </c>
      <c r="G16" s="9" t="s">
        <v>427</v>
      </c>
    </row>
    <row r="18" spans="1:1" x14ac:dyDescent="0.3">
      <c r="A18" s="6" t="s">
        <v>428</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F5E5A"/>
  </sheetPr>
  <dimension ref="A1:G15"/>
  <sheetViews>
    <sheetView showGridLines="0" workbookViewId="0"/>
  </sheetViews>
  <sheetFormatPr defaultRowHeight="14.4" x14ac:dyDescent="0.3"/>
  <cols>
    <col min="1" max="1" width="34" customWidth="1"/>
    <col min="2" max="3" width="12" customWidth="1"/>
    <col min="4" max="6" width="18" customWidth="1"/>
    <col min="7" max="7" width="48" customWidth="1"/>
  </cols>
  <sheetData>
    <row r="1" spans="1:7" ht="21" x14ac:dyDescent="0.4">
      <c r="A1" s="1" t="s">
        <v>429</v>
      </c>
    </row>
    <row r="2" spans="1:7" x14ac:dyDescent="0.3">
      <c r="A2" s="6" t="s">
        <v>430</v>
      </c>
    </row>
    <row r="4" spans="1:7" ht="30" customHeight="1" x14ac:dyDescent="0.3">
      <c r="A4" s="13" t="s">
        <v>282</v>
      </c>
      <c r="B4" s="13" t="s">
        <v>283</v>
      </c>
      <c r="C4" s="13" t="s">
        <v>431</v>
      </c>
      <c r="D4" s="13" t="s">
        <v>432</v>
      </c>
      <c r="E4" s="13" t="str">
        <f>"Price ("&amp;Settings!$B$4&amp;")"</f>
        <v>Price (INR)</v>
      </c>
      <c r="F4" s="13" t="s">
        <v>433</v>
      </c>
      <c r="G4" s="13" t="s">
        <v>296</v>
      </c>
    </row>
    <row r="5" spans="1:7" ht="22.8" x14ac:dyDescent="0.3">
      <c r="A5" s="8" t="s">
        <v>172</v>
      </c>
      <c r="B5" s="17">
        <v>48</v>
      </c>
      <c r="C5" s="17">
        <v>350</v>
      </c>
      <c r="D5" s="18">
        <v>850000</v>
      </c>
      <c r="E5" s="29">
        <f>D5*Settings!$B$6</f>
        <v>850000</v>
      </c>
      <c r="F5" s="8" t="s">
        <v>434</v>
      </c>
      <c r="G5" s="9" t="s">
        <v>435</v>
      </c>
    </row>
    <row r="6" spans="1:7" x14ac:dyDescent="0.3">
      <c r="A6" s="8" t="s">
        <v>436</v>
      </c>
      <c r="B6" s="17">
        <v>96</v>
      </c>
      <c r="C6" s="17">
        <v>600</v>
      </c>
      <c r="D6" s="18">
        <v>1000000</v>
      </c>
      <c r="E6" s="29">
        <f>D6*Settings!$B$6</f>
        <v>1000000</v>
      </c>
      <c r="F6" s="8" t="s">
        <v>434</v>
      </c>
      <c r="G6" s="9" t="s">
        <v>437</v>
      </c>
    </row>
    <row r="7" spans="1:7" x14ac:dyDescent="0.3">
      <c r="A7" s="8" t="s">
        <v>438</v>
      </c>
      <c r="B7" s="17">
        <v>48</v>
      </c>
      <c r="C7" s="17">
        <v>300</v>
      </c>
      <c r="D7" s="18">
        <v>700000</v>
      </c>
      <c r="E7" s="29">
        <f>D7*Settings!$B$6</f>
        <v>700000</v>
      </c>
      <c r="F7" s="8" t="s">
        <v>434</v>
      </c>
      <c r="G7" s="9" t="s">
        <v>439</v>
      </c>
    </row>
    <row r="8" spans="1:7" x14ac:dyDescent="0.3">
      <c r="A8" s="8" t="s">
        <v>440</v>
      </c>
      <c r="B8" s="17">
        <v>24</v>
      </c>
      <c r="C8" s="17">
        <v>72</v>
      </c>
      <c r="D8" s="18">
        <v>300000</v>
      </c>
      <c r="E8" s="29">
        <f>D8*Settings!$B$6</f>
        <v>300000</v>
      </c>
      <c r="F8" s="8" t="s">
        <v>441</v>
      </c>
      <c r="G8" s="9" t="s">
        <v>442</v>
      </c>
    </row>
    <row r="9" spans="1:7" x14ac:dyDescent="0.3">
      <c r="A9" s="8" t="s">
        <v>443</v>
      </c>
      <c r="B9" s="17">
        <v>80</v>
      </c>
      <c r="C9" s="17">
        <v>300</v>
      </c>
      <c r="D9" s="18">
        <v>1200000</v>
      </c>
      <c r="E9" s="29">
        <f>D9*Settings!$B$6</f>
        <v>1200000</v>
      </c>
      <c r="F9" s="8" t="s">
        <v>444</v>
      </c>
      <c r="G9" s="9" t="s">
        <v>445</v>
      </c>
    </row>
    <row r="10" spans="1:7" x14ac:dyDescent="0.3">
      <c r="A10" s="8" t="s">
        <v>446</v>
      </c>
      <c r="B10" s="17">
        <v>80</v>
      </c>
      <c r="C10" s="17">
        <v>350</v>
      </c>
      <c r="D10" s="18">
        <v>2500000</v>
      </c>
      <c r="E10" s="29">
        <f>D10*Settings!$B$6</f>
        <v>2500000</v>
      </c>
      <c r="F10" s="8" t="s">
        <v>444</v>
      </c>
      <c r="G10" s="9" t="s">
        <v>447</v>
      </c>
    </row>
    <row r="11" spans="1:7" ht="26.4" x14ac:dyDescent="0.3">
      <c r="A11" s="8" t="s">
        <v>448</v>
      </c>
      <c r="B11" s="17">
        <v>80</v>
      </c>
      <c r="C11" s="17">
        <v>700</v>
      </c>
      <c r="D11" s="18">
        <v>3000000</v>
      </c>
      <c r="E11" s="29">
        <f>D11*Settings!$B$6</f>
        <v>3000000</v>
      </c>
      <c r="F11" s="8" t="s">
        <v>449</v>
      </c>
      <c r="G11" s="9" t="s">
        <v>450</v>
      </c>
    </row>
    <row r="12" spans="1:7" ht="26.4" x14ac:dyDescent="0.3">
      <c r="A12" s="8" t="s">
        <v>451</v>
      </c>
      <c r="B12" s="17">
        <v>141</v>
      </c>
      <c r="C12" s="17">
        <v>700</v>
      </c>
      <c r="D12" s="18">
        <v>3800000</v>
      </c>
      <c r="E12" s="29">
        <f>D12*Settings!$B$6</f>
        <v>3800000</v>
      </c>
      <c r="F12" s="8" t="s">
        <v>449</v>
      </c>
      <c r="G12" s="9" t="s">
        <v>452</v>
      </c>
    </row>
    <row r="13" spans="1:7" ht="26.4" x14ac:dyDescent="0.3">
      <c r="A13" s="8" t="s">
        <v>453</v>
      </c>
      <c r="B13" s="17">
        <v>180</v>
      </c>
      <c r="C13" s="17">
        <v>1000</v>
      </c>
      <c r="D13" s="18">
        <v>5000000</v>
      </c>
      <c r="E13" s="29">
        <f>D13*Settings!$B$6</f>
        <v>5000000</v>
      </c>
      <c r="F13" s="8" t="s">
        <v>449</v>
      </c>
      <c r="G13" s="9" t="s">
        <v>454</v>
      </c>
    </row>
    <row r="14" spans="1:7" x14ac:dyDescent="0.3">
      <c r="A14" s="8" t="s">
        <v>455</v>
      </c>
      <c r="B14" s="17">
        <v>192</v>
      </c>
      <c r="C14" s="17">
        <v>750</v>
      </c>
      <c r="D14" s="18">
        <v>2200000</v>
      </c>
      <c r="E14" s="29">
        <f>D14*Settings!$B$6</f>
        <v>2200000</v>
      </c>
      <c r="F14" s="8" t="s">
        <v>456</v>
      </c>
      <c r="G14" s="9" t="s">
        <v>457</v>
      </c>
    </row>
    <row r="15" spans="1:7" x14ac:dyDescent="0.3">
      <c r="A15" s="8" t="s">
        <v>426</v>
      </c>
      <c r="B15" s="17">
        <v>48</v>
      </c>
      <c r="C15" s="17">
        <v>350</v>
      </c>
      <c r="D15" s="18">
        <v>850000</v>
      </c>
      <c r="E15" s="29">
        <f>D15*Settings!$B$6</f>
        <v>850000</v>
      </c>
      <c r="F15" s="8"/>
      <c r="G15" s="9" t="s">
        <v>458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Settings</vt:lpstr>
      <vt:lpstr>1 Discovery</vt:lpstr>
      <vt:lpstr>2 Sizing</vt:lpstr>
      <vt:lpstr>3 BOM</vt:lpstr>
      <vt:lpstr>4 TCO</vt:lpstr>
      <vt:lpstr>5 Decision</vt:lpstr>
      <vt:lpstr>Model library</vt:lpstr>
      <vt:lpstr>GPU library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Dr. Pranay Jha</cp:lastModifiedBy>
  <dcterms:created xsi:type="dcterms:W3CDTF">2026-09-16T13:16:20Z</dcterms:created>
  <dcterms:modified xsi:type="dcterms:W3CDTF">2026-09-16T13:16:22Z</dcterms:modified>
</cp:coreProperties>
</file>